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wielkikrzychmbp/Desktop/"/>
    </mc:Choice>
  </mc:AlternateContent>
  <xr:revisionPtr revIDLastSave="0" documentId="13_ncr:1_{CCCB8136-B085-1742-B58E-8FF0257BE5AC}" xr6:coauthVersionLast="47" xr6:coauthVersionMax="47" xr10:uidLastSave="{00000000-0000-0000-0000-000000000000}"/>
  <bookViews>
    <workbookView xWindow="3760" yWindow="600" windowWidth="46320" windowHeight="26620" xr2:uid="{00000000-000D-0000-FFFF-FFFF00000000}"/>
  </bookViews>
  <sheets>
    <sheet name="Instrukcja" sheetId="1" r:id="rId1"/>
    <sheet name="Test CP-CS" sheetId="2" r:id="rId2"/>
    <sheet name="Test schodkowy" sheetId="3" r:id="rId3"/>
    <sheet name="Obliczenia" sheetId="4" r:id="rId4"/>
    <sheet name="Wyniki" sheetId="5" r:id="rId5"/>
    <sheet name="Strefy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4" l="1"/>
  <c r="E26" i="4"/>
  <c r="E25" i="4"/>
  <c r="E24" i="4"/>
  <c r="B22" i="4"/>
  <c r="B21" i="4"/>
  <c r="B20" i="4"/>
  <c r="B19" i="4"/>
  <c r="B18" i="4"/>
  <c r="B17" i="4"/>
  <c r="B16" i="4"/>
  <c r="B15" i="4"/>
  <c r="B14" i="4"/>
  <c r="E9" i="4"/>
  <c r="B23" i="4" s="1"/>
  <c r="B8" i="4"/>
  <c r="A8" i="4"/>
  <c r="E6" i="4"/>
  <c r="E8" i="4" s="1"/>
  <c r="B6" i="4"/>
  <c r="I18" i="3"/>
  <c r="H18" i="3"/>
  <c r="G18" i="3"/>
  <c r="F18" i="3"/>
  <c r="I17" i="3"/>
  <c r="G17" i="3"/>
  <c r="H17" i="3" s="1"/>
  <c r="I16" i="3"/>
  <c r="H16" i="3"/>
  <c r="G16" i="3"/>
  <c r="G15" i="3"/>
  <c r="H15" i="3" s="1"/>
  <c r="F15" i="3"/>
  <c r="H14" i="3"/>
  <c r="G14" i="3"/>
  <c r="F14" i="3"/>
  <c r="I13" i="3"/>
  <c r="G13" i="3"/>
  <c r="H13" i="3" s="1"/>
  <c r="G12" i="3"/>
  <c r="H12" i="3" s="1"/>
  <c r="I11" i="3"/>
  <c r="H11" i="3"/>
  <c r="G11" i="3"/>
  <c r="F11" i="3"/>
  <c r="I10" i="3"/>
  <c r="G10" i="3"/>
  <c r="H10" i="3" s="1"/>
  <c r="I9" i="3"/>
  <c r="H9" i="3"/>
  <c r="G9" i="3"/>
  <c r="B5" i="3"/>
  <c r="I12" i="3" s="1"/>
  <c r="B4" i="3"/>
  <c r="F17" i="3" s="1"/>
  <c r="K16" i="2"/>
  <c r="J16" i="2"/>
  <c r="H16" i="2"/>
  <c r="G16" i="2"/>
  <c r="F16" i="2"/>
  <c r="B9" i="4" s="1"/>
  <c r="K15" i="2"/>
  <c r="J15" i="2"/>
  <c r="I15" i="2"/>
  <c r="F15" i="2"/>
  <c r="G15" i="2" s="1"/>
  <c r="H15" i="2" s="1"/>
  <c r="J14" i="2"/>
  <c r="F14" i="2"/>
  <c r="K14" i="2" s="1"/>
  <c r="K13" i="2"/>
  <c r="J13" i="2"/>
  <c r="I13" i="2"/>
  <c r="A6" i="4" s="1"/>
  <c r="G13" i="2"/>
  <c r="H13" i="2" s="1"/>
  <c r="F13" i="2"/>
  <c r="J12" i="2"/>
  <c r="F12" i="2"/>
  <c r="K12" i="2" s="1"/>
  <c r="J11" i="2"/>
  <c r="I11" i="2"/>
  <c r="A4" i="4" s="1"/>
  <c r="G11" i="2"/>
  <c r="H11" i="2" s="1"/>
  <c r="F11" i="2"/>
  <c r="B4" i="4" s="1"/>
  <c r="E14" i="4" l="1"/>
  <c r="I14" i="2"/>
  <c r="A7" i="4" s="1"/>
  <c r="B7" i="4"/>
  <c r="B5" i="4"/>
  <c r="E4" i="4" s="1"/>
  <c r="K11" i="2"/>
  <c r="G14" i="2"/>
  <c r="H14" i="2" s="1"/>
  <c r="I16" i="2"/>
  <c r="A9" i="4" s="1"/>
  <c r="I14" i="3"/>
  <c r="E7" i="4"/>
  <c r="G12" i="2"/>
  <c r="H12" i="2" s="1"/>
  <c r="F12" i="3"/>
  <c r="I12" i="2"/>
  <c r="A5" i="4" s="1"/>
  <c r="E3" i="4" s="1"/>
  <c r="I15" i="3"/>
  <c r="F9" i="3"/>
  <c r="F16" i="3"/>
  <c r="F13" i="3"/>
  <c r="F10" i="3"/>
  <c r="B8" i="5" l="1"/>
  <c r="B9" i="5" s="1"/>
  <c r="B7" i="5"/>
  <c r="B5" i="5"/>
  <c r="B10" i="5"/>
  <c r="B18" i="5"/>
  <c r="B19" i="5" s="1"/>
  <c r="B17" i="5"/>
  <c r="B14" i="5"/>
  <c r="B20" i="5"/>
  <c r="A19" i="4"/>
  <c r="A23" i="4"/>
  <c r="A18" i="4"/>
  <c r="A21" i="4"/>
  <c r="A16" i="4"/>
  <c r="A22" i="4"/>
  <c r="A15" i="4"/>
  <c r="A14" i="4"/>
  <c r="A20" i="4"/>
  <c r="A17" i="4"/>
  <c r="E22" i="4"/>
  <c r="B30" i="5" s="1"/>
  <c r="E20" i="4"/>
  <c r="B27" i="5" s="1"/>
  <c r="E21" i="4"/>
  <c r="B28" i="5" s="1"/>
  <c r="B29" i="5" s="1"/>
  <c r="B38" i="5" l="1"/>
  <c r="B39" i="5" s="1"/>
  <c r="B33" i="5"/>
  <c r="B34" i="5" s="1"/>
  <c r="B11" i="5"/>
  <c r="B6" i="5"/>
  <c r="F30" i="6"/>
  <c r="B42" i="5"/>
  <c r="E30" i="6"/>
  <c r="F29" i="6"/>
  <c r="B46" i="5"/>
  <c r="E29" i="6"/>
  <c r="B16" i="5"/>
  <c r="B15" i="5"/>
  <c r="B45" i="5"/>
  <c r="F28" i="6"/>
  <c r="E28" i="6"/>
  <c r="F27" i="6"/>
  <c r="E27" i="6"/>
  <c r="E26" i="6"/>
  <c r="F25" i="6"/>
  <c r="E25" i="6"/>
  <c r="B43" i="5"/>
  <c r="F26" i="6"/>
  <c r="F24" i="6"/>
  <c r="B44" i="5"/>
  <c r="E24" i="6"/>
  <c r="E13" i="4"/>
  <c r="D45" i="5" l="1"/>
  <c r="C45" i="5"/>
  <c r="D43" i="5"/>
  <c r="C43" i="5"/>
  <c r="D44" i="5"/>
  <c r="C44" i="5"/>
  <c r="D46" i="5"/>
  <c r="C46" i="5"/>
  <c r="D42" i="5"/>
  <c r="C42" i="5"/>
  <c r="E19" i="4"/>
  <c r="B26" i="5" s="1"/>
  <c r="E18" i="4"/>
  <c r="B24" i="5" s="1"/>
  <c r="B25" i="5" s="1"/>
  <c r="E17" i="4"/>
  <c r="B23" i="5" s="1"/>
  <c r="F19" i="6"/>
  <c r="E19" i="6"/>
  <c r="F18" i="6"/>
  <c r="E17" i="6"/>
  <c r="E18" i="6"/>
  <c r="F17" i="6"/>
  <c r="F16" i="6"/>
  <c r="E16" i="6"/>
  <c r="E15" i="6"/>
  <c r="F14" i="6"/>
  <c r="E14" i="6"/>
  <c r="F13" i="6"/>
  <c r="E13" i="6"/>
  <c r="F15" i="6"/>
</calcChain>
</file>

<file path=xl/sharedStrings.xml><?xml version="1.0" encoding="utf-8"?>
<sst xmlns="http://schemas.openxmlformats.org/spreadsheetml/2006/main" count="227" uniqueCount="197">
  <si>
    <t>Kalkulator Critical Power / Critical Speed</t>
  </si>
  <si>
    <t>Moc krytyczna (CP), prędkość krytyczna (CS), W', D', progi mleczanowe i strefy treningowe.</t>
  </si>
  <si>
    <t>Co liczy ten arkusz</t>
  </si>
  <si>
    <t>Model 2-parametrowy opisuje zależność intensywności od czasu trwania wysiłku maksymalnego:</t>
  </si>
  <si>
    <t xml:space="preserve">    praca:    W = CP × t + W'        (nachylenie = CP w watach, wyraz wolny = W' w dżulach)</t>
  </si>
  <si>
    <t xml:space="preserve">    dystans:  d = CS × t + D'        (nachylenie = CS w m/s, wyraz wolny = D' w metrach)</t>
  </si>
  <si>
    <t>Protokół testu CP / CS</t>
  </si>
  <si>
    <t>1. Wykonaj 3–5 prób maksymalnych na czas lub na dystans.</t>
  </si>
  <si>
    <t>3. Rozłóż próby tak, by były wyraźnie różnej długości, np. ~3 min, ~7 min, ~12 min.</t>
  </si>
  <si>
    <t>4. Między próbami minimum 30 minut pełnego odpoczynku, a najlepiej osobne dni. Zmęczenie z poprzedniej próby zaniża CP i zawyża W'.</t>
  </si>
  <si>
    <t>5. Każda próba na tym samym podłożu i sprzęcie. Bieg: bieżnia lub bieżnia stadionowa, bez podbiegów. Rower: równy teren lub trenażer.</t>
  </si>
  <si>
    <t>6. Ta sama rozgrzewka przed każdą próbą.</t>
  </si>
  <si>
    <t>Co wpisać</t>
  </si>
  <si>
    <t>Rower (z pomiarem mocy): wypełnij czas i średnią moc. Dystans możesz pominąć.</t>
  </si>
  <si>
    <t>Bieg (bez pomiaru mocy): wypełnij czas i dystans. Moc możesz pominąć.</t>
  </si>
  <si>
    <t>Do wyliczenia modelu potrzebne są minimum 3 poprawne próby.</t>
  </si>
  <si>
    <t>Protokół testu schodkowego (opcjonalny)</t>
  </si>
  <si>
    <t>Potrzebny analizator mleczanu. Bez niego arkusz i tak policzy CP/CS — progi zostaną puste.</t>
  </si>
  <si>
    <t>1. Kroki po 3–5 minut, obciążenie rosnące (krok 1 = najlżejszy).</t>
  </si>
  <si>
    <t>3. Mleczan pobieraj w ostatnich 30 s każdego kroku, HR uśrednij z ostatniej minuty.</t>
  </si>
  <si>
    <t>4. Kontynuuj aż do wyraźnego przekroczenia 4 mmol/L, inaczej progu LT2 nie da się wyliczyć.</t>
  </si>
  <si>
    <t>Jak arkusz wyznacza progi</t>
  </si>
  <si>
    <t>LT1 (próg tlenowy): pierwszy punkt, w którym mleczan wzrasta o 0,4 mmol/L ponad wartość bazową (najniższą zmierzoną). Wartość dokładna z interpolacji liniowej między sąsiednimi krokami.</t>
  </si>
  <si>
    <t>LT2 (OBLA): stałe stężenie 4,0 mmol/L, również z interpolacji liniowej.</t>
  </si>
  <si>
    <t>To są kryteria umowne. Traktuj je jako punkt odniesienia, nie jako wartość absolutną.</t>
  </si>
  <si>
    <t>Jak czytać jakość testu</t>
  </si>
  <si>
    <t>Ograniczenia</t>
  </si>
  <si>
    <t>• CP/CS z 3 prób to szacunek. Więcej prób = węższy przedział niepewności.</t>
  </si>
  <si>
    <t>• CP nie jest tym samym co FTP. FTP mieści się zwykle w przedziale 95–100% CP.</t>
  </si>
  <si>
    <t>• Strefy procentowe to praktyczne przybliżenie. Jeśli masz progi z testu schodkowego, one mają pierwszeństwo przed strefami liczonymi z %CP.</t>
  </si>
  <si>
    <t>Zastrzeżenie</t>
  </si>
  <si>
    <t>wielkikrzych.pl</t>
  </si>
  <si>
    <t>Test Critical Power / Critical Speed — dane wejściowe</t>
  </si>
  <si>
    <t>Żółte pola wypełniasz Ty. Szare liczą się same.</t>
  </si>
  <si>
    <t>Dane zawodnika</t>
  </si>
  <si>
    <t>Masa ciała [kg]</t>
  </si>
  <si>
    <t>HR max [bpm]</t>
  </si>
  <si>
    <t>Data testu</t>
  </si>
  <si>
    <t>3–5 prób maksymalnych, każda 2–15 min, wyraźnie różnej długości, min. 30 min przerwy.</t>
  </si>
  <si>
    <t>Nr</t>
  </si>
  <si>
    <t>Dystans [m]</t>
  </si>
  <si>
    <t>Czas
min</t>
  </si>
  <si>
    <t>Czas
s</t>
  </si>
  <si>
    <t>Średnia
moc [W]</t>
  </si>
  <si>
    <t>Czas [s]</t>
  </si>
  <si>
    <t>Prędkość
[m/s]</t>
  </si>
  <si>
    <t>Tempo
[min/km]</t>
  </si>
  <si>
    <t>Praca [J]</t>
  </si>
  <si>
    <t>Moc [W/kg]</t>
  </si>
  <si>
    <t>Kontrola</t>
  </si>
  <si>
    <t>Rower: czas + moc. Bieg: czas + dystans. Kolumna „Kontrola” musi pokazywać OK dla co najmniej 3 prób.</t>
  </si>
  <si>
    <t>Test schodkowy — mleczan, tętno, moc/prędkość</t>
  </si>
  <si>
    <t>Opcjonalny. Bez niego CP/CS i tak się policzą — puste zostaną tylko progi mleczanowe.</t>
  </si>
  <si>
    <t>← pobierane z arkusza „Test CP-CS”</t>
  </si>
  <si>
    <t>Kroki 3–5 min, rosnąca intensywność. Krok 1 = najlżejszy. Doprowadź test powyżej 4 mmol/L.</t>
  </si>
  <si>
    <t>Krok</t>
  </si>
  <si>
    <t>Moc [W]</t>
  </si>
  <si>
    <t>Prędkość
[km/h]</t>
  </si>
  <si>
    <t>HR [bpm]</t>
  </si>
  <si>
    <t>Mleczan
[mmol/L]</t>
  </si>
  <si>
    <t>% HR max</t>
  </si>
  <si>
    <t>Obliczenia pomocnicze — nie edytuj</t>
  </si>
  <si>
    <t>Ten arkusz jest zapleczem dla „Wyników”. Zmiana czegokolwiek tutaj psuje kalkulator.</t>
  </si>
  <si>
    <t>parCP</t>
  </si>
  <si>
    <t>parCS</t>
  </si>
  <si>
    <t>nCP (par praca-czas)</t>
  </si>
  <si>
    <t>nCS (par dystans-czas)</t>
  </si>
  <si>
    <t>Mleczan bazowy [mmol/L]</t>
  </si>
  <si>
    <t>Cel LT1 (baza + 0,4)</t>
  </si>
  <si>
    <t>Krok bazowy</t>
  </si>
  <si>
    <t>Cel LT2 (OBLA)</t>
  </si>
  <si>
    <t>flagLT1</t>
  </si>
  <si>
    <t>flagLT2</t>
  </si>
  <si>
    <t>idx LT1</t>
  </si>
  <si>
    <t>idx LT2</t>
  </si>
  <si>
    <t>LT1 — moc [W]</t>
  </si>
  <si>
    <t>LT1 — prędkość [km/h]</t>
  </si>
  <si>
    <t>LT1 — HR [bpm]</t>
  </si>
  <si>
    <t>LT2 — moc [W]</t>
  </si>
  <si>
    <t>LT2 — prędkość [km/h]</t>
  </si>
  <si>
    <t>LT2 — HR [bpm]</t>
  </si>
  <si>
    <t>a — HR/W</t>
  </si>
  <si>
    <t>b — HR/W</t>
  </si>
  <si>
    <t>a2 — HR/(km/h)</t>
  </si>
  <si>
    <t>b2 — HR/(km/h)</t>
  </si>
  <si>
    <t>Wyniki</t>
  </si>
  <si>
    <t>Wszystko liczy się automatycznie z arkuszy „Test CP-CS” i „Test schodkowy”.</t>
  </si>
  <si>
    <t>Model mocy — Critical Power</t>
  </si>
  <si>
    <t>CP — moc krytyczna</t>
  </si>
  <si>
    <t>W</t>
  </si>
  <si>
    <t>Granica domeny ciężkiej i bardzo ciężkiej.</t>
  </si>
  <si>
    <t>CP względne</t>
  </si>
  <si>
    <t>W/kg</t>
  </si>
  <si>
    <t>W' — zapas beztlenowy</t>
  </si>
  <si>
    <t>kJ</t>
  </si>
  <si>
    <t>Praca dostępna powyżej CP. Typowo 10–25 kJ.</t>
  </si>
  <si>
    <t>R² modelu</t>
  </si>
  <si>
    <t>Ocena dopasowania</t>
  </si>
  <si>
    <t>Liczba poprawnych prób</t>
  </si>
  <si>
    <t>Szacowane FTP</t>
  </si>
  <si>
    <t>Przybliżenie. FTP mieści się zwykle w 95–100% CP.</t>
  </si>
  <si>
    <t>Model prędkości — Critical Speed</t>
  </si>
  <si>
    <t>CS — prędkość krytyczna</t>
  </si>
  <si>
    <t>m/s</t>
  </si>
  <si>
    <t>CS</t>
  </si>
  <si>
    <t>km/h</t>
  </si>
  <si>
    <t>CS — tempo</t>
  </si>
  <si>
    <t>min/km</t>
  </si>
  <si>
    <t>D' — zapas dystansu</t>
  </si>
  <si>
    <t>m</t>
  </si>
  <si>
    <t>Dystans dostępny powyżej CS. Typowo 100–300 m.</t>
  </si>
  <si>
    <t>Progi mleczanowe — z testu schodkowego</t>
  </si>
  <si>
    <t>LT1 — moc</t>
  </si>
  <si>
    <t>Próg tlenowy: baza + 0,4 mmol/L.</t>
  </si>
  <si>
    <t>LT1 — prędkość</t>
  </si>
  <si>
    <t>LT1 — tempo</t>
  </si>
  <si>
    <t>LT1 — tętno</t>
  </si>
  <si>
    <t>bpm</t>
  </si>
  <si>
    <t>LT2 — moc</t>
  </si>
  <si>
    <t>OBLA: stałe 4,0 mmol/L.</t>
  </si>
  <si>
    <t>LT2 — prędkość</t>
  </si>
  <si>
    <t>LT2 — tempo</t>
  </si>
  <si>
    <t>LT2 — tętno</t>
  </si>
  <si>
    <t>Tętno przy CP</t>
  </si>
  <si>
    <t>HR przy CP</t>
  </si>
  <si>
    <t>Z regresji HR–moc. Wiarygodne tylko gdy CP mieści się w zakresie testu schodkowego.</t>
  </si>
  <si>
    <t>% HR max przy CP</t>
  </si>
  <si>
    <t>Czas do wyczerpania</t>
  </si>
  <si>
    <t>Moc [W] — wpisz:</t>
  </si>
  <si>
    <t>Przewidywany czas</t>
  </si>
  <si>
    <t>min:s</t>
  </si>
  <si>
    <t>Wzór t = W' / (P − CP). Ma sens tylko dla mocy powyżej CP i czasów 2–15 min.</t>
  </si>
  <si>
    <t>Wiarygodność wyniku</t>
  </si>
  <si>
    <t>Przewidywane czasy na dystansach</t>
  </si>
  <si>
    <t>Czas</t>
  </si>
  <si>
    <t>Tempo</t>
  </si>
  <si>
    <t>Uwaga</t>
  </si>
  <si>
    <t>Strefy treningowe</t>
  </si>
  <si>
    <t>Liczone z CP i CS. Jeśli masz progi z testu schodkowego, one mają pierwszeństwo.</t>
  </si>
  <si>
    <t>Domeny fizjologiczne</t>
  </si>
  <si>
    <t>Domena</t>
  </si>
  <si>
    <t>Zakres</t>
  </si>
  <si>
    <t>Charakterystyka</t>
  </si>
  <si>
    <t>Umiarkowana</t>
  </si>
  <si>
    <t>poniżej LT1</t>
  </si>
  <si>
    <t>Mleczan stabilny na poziomie spoczynkowym. Baza tlenowa, objętość.</t>
  </si>
  <si>
    <t>Ciężka</t>
  </si>
  <si>
    <t>LT1 – CP</t>
  </si>
  <si>
    <t>Mleczan podwyższony, ale stabilny. Tempo, sweet spot, praca progowa.</t>
  </si>
  <si>
    <t>Bardzo ciężka</t>
  </si>
  <si>
    <t>powyżej CP</t>
  </si>
  <si>
    <t>Mleczan rośnie bez ustabilizowania, VO2 dochodzi do maksimum. Czas do wyczerpania = W' / (P − CP).</t>
  </si>
  <si>
    <t>Kotwice: strefy mocy liczone od FTP (Wyniki!B11), strefy tempa od progu = CS. Żółte kolumny procentowe możesz nadpisać własnymi wartościami z Intervals.icu.</t>
  </si>
  <si>
    <t>Strefy mocy (% FTP) — model Coggan, domyślny w Intervals.icu</t>
  </si>
  <si>
    <t>Nazwa</t>
  </si>
  <si>
    <t>% FTP od</t>
  </si>
  <si>
    <t>% FTP do</t>
  </si>
  <si>
    <t>Moc od [W]</t>
  </si>
  <si>
    <t>Moc do [W]</t>
  </si>
  <si>
    <t>Zastosowanie</t>
  </si>
  <si>
    <t>Z1 Regeneracja</t>
  </si>
  <si>
    <t>Rozjazdy, aktywna regeneracja.</t>
  </si>
  <si>
    <t>Z2 Wytrzymałość</t>
  </si>
  <si>
    <t>Podstawowa objętość tlenowa.</t>
  </si>
  <si>
    <t>Z3 Tempo</t>
  </si>
  <si>
    <t>Praca ciągła poniżej progu.</t>
  </si>
  <si>
    <t>Z4 Próg</t>
  </si>
  <si>
    <t>Interwały progowe.</t>
  </si>
  <si>
    <t>Z5 VO2max</t>
  </si>
  <si>
    <t>Interwały 3–8 min.</t>
  </si>
  <si>
    <t>Z6 Beztlenowa</t>
  </si>
  <si>
    <t>Krótkie mocne odcinki. Konsumuje W'.</t>
  </si>
  <si>
    <t>Z7 Neuromięśniowa</t>
  </si>
  <si>
    <t>Sprinty kilkunastosekundowe.</t>
  </si>
  <si>
    <t>Strefy tempa (% progu = CS) — ta sama struktura stref</t>
  </si>
  <si>
    <t>% CS od</t>
  </si>
  <si>
    <t>% CS do</t>
  </si>
  <si>
    <t>Tempo
wolniejsza granica</t>
  </si>
  <si>
    <t>Tempo
szybsza granica</t>
  </si>
  <si>
    <t>Trucht regeneracyjny.</t>
  </si>
  <si>
    <t>Biegi ciągłe, baza.</t>
  </si>
  <si>
    <t>Bieg tempowy.</t>
  </si>
  <si>
    <t>Interwały 3–5 min.</t>
  </si>
  <si>
    <t>Krótkie odcinki. Konsumuje D'.</t>
  </si>
  <si>
    <t>Sprinty.</t>
  </si>
  <si>
    <t>Strefa Z1 nie ma dolnej granicy, a Z7 górnej — puste komórki w tych miejscach są celowe.</t>
  </si>
  <si>
    <t>Strefy mocy odpowiadają domyślnemu modelowi Coggana z Intervals.icu i liczą się od FTP, nie od CP — Intervals kotwiczy strefy właśnie na FTP.</t>
  </si>
  <si>
    <t>Progi z testu schodkowego (LT1/LT2) mają pierwszeństwo przed granicami procentowymi.</t>
  </si>
  <si>
    <t>Materiał ma charakter informacyjny i edukacyjny. Nie zastępuje indywidualnego planu treningowego ani konsultacji medycznej. Testy maksymalne wykonujesz na własną odpowiedzialność - jeśli masz jakiekolwiek przeciwwskazania zdrowotne, skonsultuj się z lekarzem.</t>
  </si>
  <si>
    <t>• Model nie przewiduje wyników na dystansach trwających poniżej 2 i powyżej ~15-30 minut.</t>
  </si>
  <si>
    <t>R² ≥ 0,99 - bardzo dobre dopasowanie, wynikowi można ufać.</t>
  </si>
  <si>
    <t>R² &lt; 0,95 - model źle pasuje do danych. Najczęstsze przyczyny: próby poza oknem 2-15 min, niepełny odpoczynek, jedna próba wykonana nie na maksa. Powtórz test.</t>
  </si>
  <si>
    <t>R² 0,95-0,99 - akceptowalne.</t>
  </si>
  <si>
    <t>2. Wpisuj kroki w kolejności rosnącej intensywności - arkusz na tym opiera wyszukiwanie progów.</t>
  </si>
  <si>
    <t>Masz jedno i drugie - wypełnij wszystko, dostaniesz oba modele naraz.</t>
  </si>
  <si>
    <t>2. Każda próba musi trwać 2-15 minut. Poza tym oknem model przestaje być liniowy i wynik jest zafałszowany - arkusz to oznaczy w kolumnie „Kontrola”.</t>
  </si>
  <si>
    <t>CP / CS to najwyższa intensywność możliwa do utrzymania w stanie równowagi metabolicznej - granica między domeną ciężką a bardzo ciężką. W' / D' to skończony zapas pracy powyżej tej granicy.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</si>
</sst>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m]:ss"/>
    <numFmt numFmtId="166" formatCode="0.0%"/>
    <numFmt numFmtId="167" formatCode="0.0000"/>
    <numFmt numFmtId="168" formatCode="0.000"/>
  </numFmts>
  <fonts count="7" x14ac:knownFonts="1">
    <font>
      <sz val="11"/>
      <color theme="1"/>
      <name val="Calibri"/>
      <family val="2"/>
      <scheme val="minor"/>
    </font>
    <font>
      <b/>
      <sz val="16"/>
      <color rgb="FF0C1017"/>
      <name val="Calibri"/>
      <family val="2"/>
    </font>
    <font>
      <i/>
      <sz val="9"/>
      <color rgb="FF666666"/>
      <name val="Calibri"/>
      <family val="2"/>
    </font>
    <font>
      <b/>
      <sz val="12"/>
      <color rgb="FF0C1017"/>
      <name val="Calibri"/>
      <family val="2"/>
    </font>
    <font>
      <sz val="10"/>
      <color rgb="FF1A1A1A"/>
      <name val="Calibri"/>
      <family val="2"/>
    </font>
    <font>
      <b/>
      <sz val="10"/>
      <color rgb="FFFFFFFF"/>
      <name val="Calibri"/>
      <family val="2"/>
    </font>
    <font>
      <b/>
      <sz val="11"/>
      <color rgb="FF0C101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8FBF4"/>
      </patternFill>
    </fill>
    <fill>
      <patternFill patternType="solid">
        <fgColor rgb="FFFFF8E1"/>
      </patternFill>
    </fill>
    <fill>
      <patternFill patternType="solid">
        <fgColor rgb="FF0C1017"/>
      </patternFill>
    </fill>
    <fill>
      <patternFill patternType="solid">
        <fgColor rgb="FFF1F3F5"/>
      </patternFill>
    </fill>
  </fills>
  <borders count="4">
    <border>
      <left/>
      <right/>
      <top/>
      <bottom/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  <border>
      <left/>
      <right/>
      <top style="thin">
        <color rgb="FFC9CED6"/>
      </top>
      <bottom style="thin">
        <color rgb="FFC9CED6"/>
      </bottom>
      <diagonal/>
    </border>
    <border>
      <left/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164" fontId="4" fillId="3" borderId="1" xfId="0" applyNumberFormat="1" applyFont="1" applyFill="1" applyBorder="1"/>
    <xf numFmtId="1" fontId="4" fillId="3" borderId="1" xfId="0" applyNumberFormat="1" applyFont="1" applyFill="1" applyBorder="1"/>
    <xf numFmtId="49" fontId="4" fillId="3" borderId="1" xfId="0" applyNumberFormat="1" applyFont="1" applyFill="1" applyBorder="1"/>
    <xf numFmtId="0" fontId="5" fillId="4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/>
    <xf numFmtId="2" fontId="4" fillId="5" borderId="1" xfId="0" applyNumberFormat="1" applyFont="1" applyFill="1" applyBorder="1"/>
    <xf numFmtId="165" fontId="4" fillId="5" borderId="1" xfId="0" applyNumberFormat="1" applyFont="1" applyFill="1" applyBorder="1"/>
    <xf numFmtId="0" fontId="4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/>
    <xf numFmtId="166" fontId="4" fillId="5" borderId="1" xfId="0" applyNumberFormat="1" applyFont="1" applyFill="1" applyBorder="1"/>
    <xf numFmtId="0" fontId="5" fillId="4" borderId="0" xfId="0" applyFont="1" applyFill="1" applyAlignment="1">
      <alignment horizontal="center" vertical="center" wrapText="1"/>
    </xf>
    <xf numFmtId="167" fontId="4" fillId="5" borderId="1" xfId="0" applyNumberFormat="1" applyFont="1" applyFill="1" applyBorder="1"/>
    <xf numFmtId="0" fontId="3" fillId="2" borderId="0" xfId="0" applyFont="1" applyFill="1"/>
    <xf numFmtId="0" fontId="0" fillId="2" borderId="0" xfId="0" applyFill="1"/>
    <xf numFmtId="1" fontId="6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2" fontId="4" fillId="5" borderId="1" xfId="0" applyNumberFormat="1" applyFont="1" applyFill="1" applyBorder="1" applyAlignment="1">
      <alignment horizontal="center" vertical="center" wrapText="1"/>
    </xf>
    <xf numFmtId="168" fontId="4" fillId="5" borderId="1" xfId="0" applyNumberFormat="1" applyFont="1" applyFill="1" applyBorder="1" applyAlignment="1">
      <alignment horizontal="center" vertical="center" wrapText="1"/>
    </xf>
    <xf numFmtId="168" fontId="6" fillId="5" borderId="1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6" fontId="4" fillId="5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0" fontId="2" fillId="5" borderId="1" xfId="0" applyFont="1" applyFill="1" applyBorder="1" applyAlignment="1">
      <alignment vertical="top" wrapText="1"/>
    </xf>
    <xf numFmtId="9" fontId="4" fillId="3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2" fillId="5" borderId="1" xfId="0" applyFont="1" applyFill="1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5" fillId="4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pl-PL"/>
              <a:t>Model CP: praca vs czas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  <a:prstDash val="solid"/>
            </a:ln>
          </c:spPr>
          <c:marker>
            <c:symbol val="circle"/>
            <c:size val="7"/>
            <c:spPr>
              <a:ln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'Test CP-CS'!$F$11:$F$16</c:f>
            </c:numRef>
          </c:xVal>
          <c:yVal>
            <c:numRef>
              <c:f>'Test CP-CS'!$I$11:$I$16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8E0-4A4C-A664-CE4D80E2C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Czas [s]</a:t>
                </a:r>
              </a:p>
            </c:rich>
          </c:tx>
          <c:overlay val="1"/>
        </c:title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Praca [J]</a:t>
                </a:r>
              </a:p>
            </c:rich>
          </c:tx>
          <c:overlay val="1"/>
        </c:title>
        <c:numFmt formatCode="0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pl-PL"/>
              <a:t>Model CS: dystans vs czas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  <a:prstDash val="solid"/>
            </a:ln>
          </c:spPr>
          <c:marker>
            <c:symbol val="circle"/>
            <c:size val="7"/>
            <c:spPr>
              <a:ln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'Test CP-CS'!$F$11:$F$16</c:f>
            </c:numRef>
          </c:xVal>
          <c:yVal>
            <c:numRef>
              <c:f>'Test CP-CS'!$B$11:$B$16</c:f>
              <c:numCache>
                <c:formatCode>0.0</c:formatCode>
                <c:ptCount val="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74D-744A-9F69-9B7B81C0E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Czas [s]</a:t>
                </a:r>
              </a:p>
            </c:rich>
          </c:tx>
          <c:overlay val="1"/>
        </c:title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Dystans [m]</a:t>
                </a:r>
              </a:p>
            </c:rich>
          </c:tx>
          <c:overlay val="1"/>
        </c:title>
        <c:numFmt formatCode="0.0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pl-PL"/>
              <a:t>Krzywa mleczanowa: mleczan vs moc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  <a:prstDash val="solid"/>
            </a:ln>
          </c:spPr>
          <c:marker>
            <c:symbol val="circle"/>
            <c:size val="7"/>
            <c:spPr>
              <a:ln>
                <a:prstDash val="solid"/>
              </a:ln>
            </c:spPr>
          </c:marker>
          <c:xVal>
            <c:numRef>
              <c:f>'Test schodkowy'!$B$9:$B$18</c:f>
              <c:numCache>
                <c:formatCode>0</c:formatCode>
                <c:ptCount val="10"/>
              </c:numCache>
            </c:numRef>
          </c:xVal>
          <c:yVal>
            <c:numRef>
              <c:f>'Test schodkowy'!$E$9:$E$18</c:f>
              <c:numCache>
                <c:formatCode>0.0</c:formatCode>
                <c:ptCount val="1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F55-8440-A7D0-2E3278141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Moc [W]</a:t>
                </a:r>
              </a:p>
            </c:rich>
          </c:tx>
          <c:overlay val="1"/>
        </c:title>
        <c:numFmt formatCode="0" sourceLinked="1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Mleczan [mmol/L]</a:t>
                </a:r>
              </a:p>
            </c:rich>
          </c:tx>
          <c:overlay val="1"/>
        </c:title>
        <c:numFmt formatCode="0.0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pl-PL"/>
              <a:t>Krzywa mleczanowa: mleczan vs prędkość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  <a:prstDash val="solid"/>
            </a:ln>
          </c:spPr>
          <c:marker>
            <c:symbol val="circle"/>
            <c:size val="7"/>
            <c:spPr>
              <a:ln>
                <a:prstDash val="solid"/>
              </a:ln>
            </c:spPr>
          </c:marker>
          <c:xVal>
            <c:numRef>
              <c:f>'Test schodkowy'!$C$9:$C$18</c:f>
              <c:numCache>
                <c:formatCode>0.0</c:formatCode>
                <c:ptCount val="10"/>
              </c:numCache>
            </c:numRef>
          </c:xVal>
          <c:yVal>
            <c:numRef>
              <c:f>'Test schodkowy'!$E$9:$E$18</c:f>
              <c:numCache>
                <c:formatCode>0.0</c:formatCode>
                <c:ptCount val="1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9A-6A4E-8658-26040F207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Prędkość [km/h]</a:t>
                </a:r>
              </a:p>
            </c:rich>
          </c:tx>
          <c:overlay val="1"/>
        </c:title>
        <c:numFmt formatCode="0.0" sourceLinked="1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Mleczan [mmol/L]</a:t>
                </a:r>
              </a:p>
            </c:rich>
          </c:tx>
          <c:overlay val="1"/>
        </c:title>
        <c:numFmt formatCode="0.0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pl-PL"/>
              <a:t>Tętno vs moc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  <a:prstDash val="solid"/>
            </a:ln>
          </c:spPr>
          <c:marker>
            <c:symbol val="circle"/>
            <c:size val="7"/>
            <c:spPr>
              <a:ln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'Test schodkowy'!$B$9:$B$18</c:f>
              <c:numCache>
                <c:formatCode>0</c:formatCode>
                <c:ptCount val="10"/>
              </c:numCache>
            </c:numRef>
          </c:xVal>
          <c:yVal>
            <c:numRef>
              <c:f>'Test schodkowy'!$D$9:$D$18</c:f>
              <c:numCache>
                <c:formatCode>0</c:formatCode>
                <c:ptCount val="1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2BB-D644-B00E-3E20CB951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Moc [W]</a:t>
                </a:r>
              </a:p>
            </c:rich>
          </c:tx>
          <c:overlay val="1"/>
        </c:title>
        <c:numFmt formatCode="0" sourceLinked="1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HR [bpm]</a:t>
                </a:r>
              </a:p>
            </c:rich>
          </c:tx>
          <c:overlay val="1"/>
        </c:title>
        <c:numFmt formatCode="0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52</xdr:row>
      <xdr:rowOff>0</xdr:rowOff>
    </xdr:from>
    <xdr:ext cx="2476500" cy="22193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647700</xdr:colOff>
      <xdr:row>10</xdr:row>
      <xdr:rowOff>63500</xdr:rowOff>
    </xdr:from>
    <xdr:ext cx="5400000" cy="306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21</xdr:col>
      <xdr:colOff>165100</xdr:colOff>
      <xdr:row>10</xdr:row>
      <xdr:rowOff>50800</xdr:rowOff>
    </xdr:from>
    <xdr:ext cx="5400000" cy="306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4</xdr:col>
      <xdr:colOff>406400</xdr:colOff>
      <xdr:row>21</xdr:row>
      <xdr:rowOff>50800</xdr:rowOff>
    </xdr:from>
    <xdr:ext cx="2476500" cy="22193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97200" y="4330700"/>
          <a:ext cx="2476500" cy="22193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8</xdr:row>
      <xdr:rowOff>0</xdr:rowOff>
    </xdr:from>
    <xdr:ext cx="5400000" cy="306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0</xdr:colOff>
      <xdr:row>26</xdr:row>
      <xdr:rowOff>0</xdr:rowOff>
    </xdr:from>
    <xdr:ext cx="5400000" cy="306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0</xdr:colOff>
      <xdr:row>44</xdr:row>
      <xdr:rowOff>0</xdr:rowOff>
    </xdr:from>
    <xdr:ext cx="5400000" cy="306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</xdr:col>
      <xdr:colOff>25400</xdr:colOff>
      <xdr:row>21</xdr:row>
      <xdr:rowOff>177800</xdr:rowOff>
    </xdr:from>
    <xdr:ext cx="2476500" cy="2219325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20800" y="4445000"/>
          <a:ext cx="2476500" cy="22193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2476500" cy="22193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2476500" cy="22193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51"/>
  <sheetViews>
    <sheetView showGridLines="0" tabSelected="1" zoomScale="120" zoomScaleNormal="120" workbookViewId="0">
      <selection activeCell="B6" sqref="B6"/>
    </sheetView>
  </sheetViews>
  <sheetFormatPr baseColWidth="10" defaultColWidth="8.83203125" defaultRowHeight="15" x14ac:dyDescent="0.2"/>
  <cols>
    <col min="1" max="1" width="3" customWidth="1"/>
    <col min="2" max="2" width="110.1640625" customWidth="1"/>
  </cols>
  <sheetData>
    <row r="2" spans="2:2" ht="21" x14ac:dyDescent="0.25">
      <c r="B2" s="1" t="s">
        <v>0</v>
      </c>
    </row>
    <row r="3" spans="2:2" x14ac:dyDescent="0.2">
      <c r="B3" s="2" t="s">
        <v>1</v>
      </c>
    </row>
    <row r="5" spans="2:2" ht="20" customHeight="1" x14ac:dyDescent="0.2">
      <c r="B5" s="3" t="s">
        <v>2</v>
      </c>
    </row>
    <row r="6" spans="2:2" ht="15" customHeight="1" x14ac:dyDescent="0.2">
      <c r="B6" s="4" t="s">
        <v>3</v>
      </c>
    </row>
    <row r="7" spans="2:2" ht="15" customHeight="1" x14ac:dyDescent="0.2">
      <c r="B7" s="4" t="s">
        <v>4</v>
      </c>
    </row>
    <row r="8" spans="2:2" ht="15" customHeight="1" x14ac:dyDescent="0.2">
      <c r="B8" s="4" t="s">
        <v>5</v>
      </c>
    </row>
    <row r="9" spans="2:2" ht="29" customHeight="1" x14ac:dyDescent="0.2">
      <c r="B9" s="4" t="s">
        <v>196</v>
      </c>
    </row>
    <row r="11" spans="2:2" ht="20" customHeight="1" x14ac:dyDescent="0.2">
      <c r="B11" s="3" t="s">
        <v>6</v>
      </c>
    </row>
    <row r="12" spans="2:2" ht="15" customHeight="1" x14ac:dyDescent="0.2">
      <c r="B12" s="4" t="s">
        <v>7</v>
      </c>
    </row>
    <row r="13" spans="2:2" ht="16" customHeight="1" x14ac:dyDescent="0.2">
      <c r="B13" s="4" t="s">
        <v>195</v>
      </c>
    </row>
    <row r="14" spans="2:2" ht="15" customHeight="1" x14ac:dyDescent="0.2">
      <c r="B14" s="4" t="s">
        <v>8</v>
      </c>
    </row>
    <row r="15" spans="2:2" ht="18" customHeight="1" x14ac:dyDescent="0.2">
      <c r="B15" s="4" t="s">
        <v>9</v>
      </c>
    </row>
    <row r="16" spans="2:2" ht="19" customHeight="1" x14ac:dyDescent="0.2">
      <c r="B16" s="4" t="s">
        <v>10</v>
      </c>
    </row>
    <row r="17" spans="2:2" ht="15" customHeight="1" x14ac:dyDescent="0.2">
      <c r="B17" s="4" t="s">
        <v>11</v>
      </c>
    </row>
    <row r="19" spans="2:2" ht="20" customHeight="1" x14ac:dyDescent="0.2">
      <c r="B19" s="3" t="s">
        <v>12</v>
      </c>
    </row>
    <row r="20" spans="2:2" ht="15" customHeight="1" x14ac:dyDescent="0.2">
      <c r="B20" s="4" t="s">
        <v>13</v>
      </c>
    </row>
    <row r="21" spans="2:2" ht="15" customHeight="1" x14ac:dyDescent="0.2">
      <c r="B21" s="4" t="s">
        <v>14</v>
      </c>
    </row>
    <row r="22" spans="2:2" ht="15" customHeight="1" x14ac:dyDescent="0.2">
      <c r="B22" s="4" t="s">
        <v>194</v>
      </c>
    </row>
    <row r="23" spans="2:2" ht="15" customHeight="1" x14ac:dyDescent="0.2">
      <c r="B23" s="4" t="s">
        <v>15</v>
      </c>
    </row>
    <row r="25" spans="2:2" ht="20" customHeight="1" x14ac:dyDescent="0.2">
      <c r="B25" s="3" t="s">
        <v>16</v>
      </c>
    </row>
    <row r="26" spans="2:2" ht="15" customHeight="1" x14ac:dyDescent="0.2">
      <c r="B26" s="4" t="s">
        <v>17</v>
      </c>
    </row>
    <row r="27" spans="2:2" ht="15" customHeight="1" x14ac:dyDescent="0.2">
      <c r="B27" s="4" t="s">
        <v>18</v>
      </c>
    </row>
    <row r="28" spans="2:2" ht="15" customHeight="1" x14ac:dyDescent="0.2">
      <c r="B28" s="4" t="s">
        <v>193</v>
      </c>
    </row>
    <row r="29" spans="2:2" ht="15" customHeight="1" x14ac:dyDescent="0.2">
      <c r="B29" s="4" t="s">
        <v>19</v>
      </c>
    </row>
    <row r="30" spans="2:2" ht="15" customHeight="1" x14ac:dyDescent="0.2">
      <c r="B30" s="4" t="s">
        <v>20</v>
      </c>
    </row>
    <row r="32" spans="2:2" ht="20" customHeight="1" x14ac:dyDescent="0.2">
      <c r="B32" s="3" t="s">
        <v>21</v>
      </c>
    </row>
    <row r="33" spans="2:2" ht="29" customHeight="1" x14ac:dyDescent="0.2">
      <c r="B33" s="4" t="s">
        <v>22</v>
      </c>
    </row>
    <row r="34" spans="2:2" ht="15" customHeight="1" x14ac:dyDescent="0.2">
      <c r="B34" s="4" t="s">
        <v>23</v>
      </c>
    </row>
    <row r="35" spans="2:2" ht="15" customHeight="1" x14ac:dyDescent="0.2">
      <c r="B35" s="4" t="s">
        <v>24</v>
      </c>
    </row>
    <row r="37" spans="2:2" ht="20" customHeight="1" x14ac:dyDescent="0.2">
      <c r="B37" s="3" t="s">
        <v>25</v>
      </c>
    </row>
    <row r="38" spans="2:2" ht="15" customHeight="1" x14ac:dyDescent="0.2">
      <c r="B38" s="4" t="s">
        <v>190</v>
      </c>
    </row>
    <row r="39" spans="2:2" ht="15" customHeight="1" x14ac:dyDescent="0.2">
      <c r="B39" s="4" t="s">
        <v>192</v>
      </c>
    </row>
    <row r="40" spans="2:2" ht="29" customHeight="1" x14ac:dyDescent="0.2">
      <c r="B40" s="4" t="s">
        <v>191</v>
      </c>
    </row>
    <row r="42" spans="2:2" ht="20" customHeight="1" x14ac:dyDescent="0.2">
      <c r="B42" s="3" t="s">
        <v>26</v>
      </c>
    </row>
    <row r="43" spans="2:2" ht="15" customHeight="1" x14ac:dyDescent="0.2">
      <c r="B43" s="4" t="s">
        <v>27</v>
      </c>
    </row>
    <row r="44" spans="2:2" ht="15" customHeight="1" x14ac:dyDescent="0.2">
      <c r="B44" s="4" t="s">
        <v>189</v>
      </c>
    </row>
    <row r="45" spans="2:2" ht="15" customHeight="1" x14ac:dyDescent="0.2">
      <c r="B45" s="4" t="s">
        <v>28</v>
      </c>
    </row>
    <row r="46" spans="2:2" ht="29" customHeight="1" x14ac:dyDescent="0.2">
      <c r="B46" s="4" t="s">
        <v>29</v>
      </c>
    </row>
    <row r="48" spans="2:2" ht="20" customHeight="1" x14ac:dyDescent="0.2">
      <c r="B48" s="3" t="s">
        <v>30</v>
      </c>
    </row>
    <row r="49" spans="2:2" ht="29" customHeight="1" x14ac:dyDescent="0.2">
      <c r="B49" s="4" t="s">
        <v>188</v>
      </c>
    </row>
    <row r="51" spans="2:2" ht="15" customHeight="1" x14ac:dyDescent="0.2">
      <c r="B51" s="4" t="s">
        <v>31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showGridLines="0" workbookViewId="0">
      <pane ySplit="10" topLeftCell="A11" activePane="bottomLeft" state="frozen"/>
      <selection pane="bottomLeft" activeCell="B5" sqref="B5"/>
    </sheetView>
  </sheetViews>
  <sheetFormatPr baseColWidth="10" defaultColWidth="8.83203125" defaultRowHeight="15" x14ac:dyDescent="0.2"/>
  <cols>
    <col min="1" max="1" width="11.6640625" customWidth="1"/>
    <col min="2" max="2" width="12" customWidth="1"/>
    <col min="3" max="4" width="8" customWidth="1"/>
    <col min="5" max="8" width="10" customWidth="1"/>
    <col min="9" max="9" width="12" customWidth="1"/>
    <col min="10" max="10" width="11" customWidth="1"/>
    <col min="11" max="11" width="22" customWidth="1"/>
  </cols>
  <sheetData>
    <row r="1" spans="1:11" ht="21" x14ac:dyDescent="0.25">
      <c r="A1" s="1" t="s">
        <v>32</v>
      </c>
    </row>
    <row r="2" spans="1:11" x14ac:dyDescent="0.2">
      <c r="A2" s="2" t="s">
        <v>33</v>
      </c>
    </row>
    <row r="4" spans="1:11" ht="16" x14ac:dyDescent="0.2">
      <c r="A4" s="5" t="s">
        <v>34</v>
      </c>
    </row>
    <row r="5" spans="1:11" x14ac:dyDescent="0.2">
      <c r="A5" s="6" t="s">
        <v>35</v>
      </c>
      <c r="B5" s="7"/>
    </row>
    <row r="6" spans="1:11" x14ac:dyDescent="0.2">
      <c r="A6" s="6" t="s">
        <v>36</v>
      </c>
      <c r="B6" s="8"/>
    </row>
    <row r="7" spans="1:11" x14ac:dyDescent="0.2">
      <c r="A7" s="6" t="s">
        <v>37</v>
      </c>
      <c r="B7" s="9"/>
    </row>
    <row r="9" spans="1:11" x14ac:dyDescent="0.2">
      <c r="A9" s="2" t="s">
        <v>38</v>
      </c>
    </row>
    <row r="10" spans="1:11" ht="30" customHeight="1" x14ac:dyDescent="0.2">
      <c r="A10" s="10" t="s">
        <v>39</v>
      </c>
      <c r="B10" s="10" t="s">
        <v>40</v>
      </c>
      <c r="C10" s="10" t="s">
        <v>41</v>
      </c>
      <c r="D10" s="10" t="s">
        <v>42</v>
      </c>
      <c r="E10" s="10" t="s">
        <v>43</v>
      </c>
      <c r="F10" s="10" t="s">
        <v>44</v>
      </c>
      <c r="G10" s="10" t="s">
        <v>45</v>
      </c>
      <c r="H10" s="10" t="s">
        <v>46</v>
      </c>
      <c r="I10" s="10" t="s">
        <v>47</v>
      </c>
      <c r="J10" s="10" t="s">
        <v>48</v>
      </c>
      <c r="K10" s="10" t="s">
        <v>49</v>
      </c>
    </row>
    <row r="11" spans="1:11" x14ac:dyDescent="0.2">
      <c r="A11" s="11">
        <v>1</v>
      </c>
      <c r="B11" s="7"/>
      <c r="C11" s="8"/>
      <c r="D11" s="8"/>
      <c r="E11" s="8"/>
      <c r="F11" s="12" t="str">
        <f t="shared" ref="F11:F16" si="0">IF(COUNT(C11:D11)=0,"",IF(ISNUMBER(C11),C11,0)*60+IF(ISNUMBER(D11),D11,0))</f>
        <v/>
      </c>
      <c r="G11" s="13" t="str">
        <f t="shared" ref="G11:G16" si="1">IF(AND(ISNUMBER(F11),ISNUMBER(B11)),B11/F11,"")</f>
        <v/>
      </c>
      <c r="H11" s="14" t="str">
        <f t="shared" ref="H11:H16" si="2">IF(ISNUMBER(G11),(1000/G11)/86400,"")</f>
        <v/>
      </c>
      <c r="I11" s="12" t="str">
        <f t="shared" ref="I11:I16" si="3">IF(AND(ISNUMBER(E11),ISNUMBER(F11)),E11*F11,"")</f>
        <v/>
      </c>
      <c r="J11" s="13" t="str">
        <f t="shared" ref="J11:J16" si="4">IF(AND(ISNUMBER(E11),ISNUMBER($B$5)),E11/$B$5,"")</f>
        <v/>
      </c>
      <c r="K11" s="15" t="str">
        <f t="shared" ref="K11:K16" si="5">IF(NOT(ISNUMBER(F11)),"",IF(F11&lt;120,"za krotka (&lt;2 min)",IF(F11&gt;900,"za dluga (&gt;15 min)","OK")))</f>
        <v/>
      </c>
    </row>
    <row r="12" spans="1:11" x14ac:dyDescent="0.2">
      <c r="A12" s="11">
        <v>2</v>
      </c>
      <c r="B12" s="7"/>
      <c r="C12" s="8"/>
      <c r="D12" s="8"/>
      <c r="E12" s="8"/>
      <c r="F12" s="12" t="str">
        <f t="shared" si="0"/>
        <v/>
      </c>
      <c r="G12" s="13" t="str">
        <f t="shared" si="1"/>
        <v/>
      </c>
      <c r="H12" s="14" t="str">
        <f t="shared" si="2"/>
        <v/>
      </c>
      <c r="I12" s="12" t="str">
        <f t="shared" si="3"/>
        <v/>
      </c>
      <c r="J12" s="13" t="str">
        <f t="shared" si="4"/>
        <v/>
      </c>
      <c r="K12" s="15" t="str">
        <f t="shared" si="5"/>
        <v/>
      </c>
    </row>
    <row r="13" spans="1:11" x14ac:dyDescent="0.2">
      <c r="A13" s="11">
        <v>3</v>
      </c>
      <c r="B13" s="7"/>
      <c r="C13" s="8"/>
      <c r="D13" s="8"/>
      <c r="E13" s="8"/>
      <c r="F13" s="12" t="str">
        <f t="shared" si="0"/>
        <v/>
      </c>
      <c r="G13" s="13" t="str">
        <f t="shared" si="1"/>
        <v/>
      </c>
      <c r="H13" s="14" t="str">
        <f t="shared" si="2"/>
        <v/>
      </c>
      <c r="I13" s="12" t="str">
        <f t="shared" si="3"/>
        <v/>
      </c>
      <c r="J13" s="13" t="str">
        <f t="shared" si="4"/>
        <v/>
      </c>
      <c r="K13" s="15" t="str">
        <f t="shared" si="5"/>
        <v/>
      </c>
    </row>
    <row r="14" spans="1:11" x14ac:dyDescent="0.2">
      <c r="A14" s="11">
        <v>4</v>
      </c>
      <c r="B14" s="7"/>
      <c r="C14" s="8"/>
      <c r="D14" s="8"/>
      <c r="E14" s="8"/>
      <c r="F14" s="12" t="str">
        <f t="shared" si="0"/>
        <v/>
      </c>
      <c r="G14" s="13" t="str">
        <f t="shared" si="1"/>
        <v/>
      </c>
      <c r="H14" s="14" t="str">
        <f t="shared" si="2"/>
        <v/>
      </c>
      <c r="I14" s="12" t="str">
        <f t="shared" si="3"/>
        <v/>
      </c>
      <c r="J14" s="13" t="str">
        <f t="shared" si="4"/>
        <v/>
      </c>
      <c r="K14" s="15" t="str">
        <f t="shared" si="5"/>
        <v/>
      </c>
    </row>
    <row r="15" spans="1:11" x14ac:dyDescent="0.2">
      <c r="A15" s="11">
        <v>5</v>
      </c>
      <c r="B15" s="7"/>
      <c r="C15" s="8"/>
      <c r="D15" s="8"/>
      <c r="E15" s="8"/>
      <c r="F15" s="12" t="str">
        <f t="shared" si="0"/>
        <v/>
      </c>
      <c r="G15" s="13" t="str">
        <f t="shared" si="1"/>
        <v/>
      </c>
      <c r="H15" s="14" t="str">
        <f t="shared" si="2"/>
        <v/>
      </c>
      <c r="I15" s="12" t="str">
        <f t="shared" si="3"/>
        <v/>
      </c>
      <c r="J15" s="13" t="str">
        <f t="shared" si="4"/>
        <v/>
      </c>
      <c r="K15" s="15" t="str">
        <f t="shared" si="5"/>
        <v/>
      </c>
    </row>
    <row r="16" spans="1:11" x14ac:dyDescent="0.2">
      <c r="A16" s="11">
        <v>6</v>
      </c>
      <c r="B16" s="7"/>
      <c r="C16" s="8"/>
      <c r="D16" s="8"/>
      <c r="E16" s="8"/>
      <c r="F16" s="12" t="str">
        <f t="shared" si="0"/>
        <v/>
      </c>
      <c r="G16" s="13" t="str">
        <f t="shared" si="1"/>
        <v/>
      </c>
      <c r="H16" s="14" t="str">
        <f t="shared" si="2"/>
        <v/>
      </c>
      <c r="I16" s="12" t="str">
        <f t="shared" si="3"/>
        <v/>
      </c>
      <c r="J16" s="13" t="str">
        <f t="shared" si="4"/>
        <v/>
      </c>
      <c r="K16" s="15" t="str">
        <f t="shared" si="5"/>
        <v/>
      </c>
    </row>
    <row r="18" spans="1:1" x14ac:dyDescent="0.2">
      <c r="A18" s="2" t="s">
        <v>50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showGridLines="0" workbookViewId="0">
      <pane ySplit="8" topLeftCell="A9" activePane="bottomLeft" state="frozen"/>
      <selection pane="bottomLeft" activeCell="C13" sqref="C13"/>
    </sheetView>
  </sheetViews>
  <sheetFormatPr baseColWidth="10" defaultColWidth="8.83203125" defaultRowHeight="15" x14ac:dyDescent="0.2"/>
  <cols>
    <col min="1" max="1" width="14" customWidth="1"/>
    <col min="2" max="2" width="10" customWidth="1"/>
    <col min="3" max="3" width="11" customWidth="1"/>
    <col min="4" max="4" width="10" customWidth="1"/>
    <col min="5" max="8" width="11" customWidth="1"/>
    <col min="9" max="9" width="10" customWidth="1"/>
  </cols>
  <sheetData>
    <row r="1" spans="1:9" ht="21" x14ac:dyDescent="0.25">
      <c r="A1" s="1" t="s">
        <v>51</v>
      </c>
    </row>
    <row r="2" spans="1:9" x14ac:dyDescent="0.2">
      <c r="A2" s="2" t="s">
        <v>52</v>
      </c>
    </row>
    <row r="4" spans="1:9" x14ac:dyDescent="0.2">
      <c r="A4" s="6" t="s">
        <v>35</v>
      </c>
      <c r="B4" s="16" t="str">
        <f>IF('Test CP-CS'!B5="","",'Test CP-CS'!B5)</f>
        <v/>
      </c>
      <c r="C4" s="2" t="s">
        <v>53</v>
      </c>
    </row>
    <row r="5" spans="1:9" x14ac:dyDescent="0.2">
      <c r="A5" s="6" t="s">
        <v>36</v>
      </c>
      <c r="B5" s="12" t="str">
        <f>IF('Test CP-CS'!B6="","",'Test CP-CS'!B6)</f>
        <v/>
      </c>
    </row>
    <row r="7" spans="1:9" x14ac:dyDescent="0.2">
      <c r="A7" s="2" t="s">
        <v>54</v>
      </c>
    </row>
    <row r="8" spans="1:9" ht="30" customHeight="1" x14ac:dyDescent="0.2">
      <c r="A8" s="10" t="s">
        <v>55</v>
      </c>
      <c r="B8" s="10" t="s">
        <v>56</v>
      </c>
      <c r="C8" s="10" t="s">
        <v>57</v>
      </c>
      <c r="D8" s="10" t="s">
        <v>58</v>
      </c>
      <c r="E8" s="10" t="s">
        <v>59</v>
      </c>
      <c r="F8" s="10" t="s">
        <v>48</v>
      </c>
      <c r="G8" s="10" t="s">
        <v>45</v>
      </c>
      <c r="H8" s="10" t="s">
        <v>46</v>
      </c>
      <c r="I8" s="10" t="s">
        <v>60</v>
      </c>
    </row>
    <row r="9" spans="1:9" x14ac:dyDescent="0.2">
      <c r="A9" s="11">
        <v>1</v>
      </c>
      <c r="B9" s="8"/>
      <c r="C9" s="7"/>
      <c r="D9" s="8"/>
      <c r="E9" s="7"/>
      <c r="F9" s="13" t="str">
        <f t="shared" ref="F9:F18" si="0">IF(AND(ISNUMBER(B9),ISNUMBER($B$4)),B9/$B$4,"")</f>
        <v/>
      </c>
      <c r="G9" s="13" t="str">
        <f t="shared" ref="G9:G18" si="1">IF(ISNUMBER(C9),C9/3.6,"")</f>
        <v/>
      </c>
      <c r="H9" s="14" t="str">
        <f t="shared" ref="H9:H18" si="2">IF(ISNUMBER(G9),(1000/G9)/86400,"")</f>
        <v/>
      </c>
      <c r="I9" s="17" t="str">
        <f t="shared" ref="I9:I18" si="3">IF(AND(ISNUMBER(D9),ISNUMBER($B$5)),D9/$B$5,"")</f>
        <v/>
      </c>
    </row>
    <row r="10" spans="1:9" x14ac:dyDescent="0.2">
      <c r="A10" s="11">
        <v>2</v>
      </c>
      <c r="B10" s="8"/>
      <c r="C10" s="7"/>
      <c r="D10" s="8"/>
      <c r="E10" s="7"/>
      <c r="F10" s="13" t="str">
        <f t="shared" si="0"/>
        <v/>
      </c>
      <c r="G10" s="13" t="str">
        <f t="shared" si="1"/>
        <v/>
      </c>
      <c r="H10" s="14" t="str">
        <f t="shared" si="2"/>
        <v/>
      </c>
      <c r="I10" s="17" t="str">
        <f t="shared" si="3"/>
        <v/>
      </c>
    </row>
    <row r="11" spans="1:9" x14ac:dyDescent="0.2">
      <c r="A11" s="11">
        <v>3</v>
      </c>
      <c r="B11" s="8"/>
      <c r="C11" s="7"/>
      <c r="D11" s="8"/>
      <c r="E11" s="7"/>
      <c r="F11" s="13" t="str">
        <f t="shared" si="0"/>
        <v/>
      </c>
      <c r="G11" s="13" t="str">
        <f t="shared" si="1"/>
        <v/>
      </c>
      <c r="H11" s="14" t="str">
        <f t="shared" si="2"/>
        <v/>
      </c>
      <c r="I11" s="17" t="str">
        <f t="shared" si="3"/>
        <v/>
      </c>
    </row>
    <row r="12" spans="1:9" x14ac:dyDescent="0.2">
      <c r="A12" s="11">
        <v>4</v>
      </c>
      <c r="B12" s="8"/>
      <c r="C12" s="7"/>
      <c r="D12" s="8"/>
      <c r="E12" s="7"/>
      <c r="F12" s="13" t="str">
        <f t="shared" si="0"/>
        <v/>
      </c>
      <c r="G12" s="13" t="str">
        <f t="shared" si="1"/>
        <v/>
      </c>
      <c r="H12" s="14" t="str">
        <f t="shared" si="2"/>
        <v/>
      </c>
      <c r="I12" s="17" t="str">
        <f t="shared" si="3"/>
        <v/>
      </c>
    </row>
    <row r="13" spans="1:9" x14ac:dyDescent="0.2">
      <c r="A13" s="11">
        <v>5</v>
      </c>
      <c r="B13" s="8"/>
      <c r="C13" s="7"/>
      <c r="D13" s="8"/>
      <c r="E13" s="7"/>
      <c r="F13" s="13" t="str">
        <f t="shared" si="0"/>
        <v/>
      </c>
      <c r="G13" s="13" t="str">
        <f t="shared" si="1"/>
        <v/>
      </c>
      <c r="H13" s="14" t="str">
        <f t="shared" si="2"/>
        <v/>
      </c>
      <c r="I13" s="17" t="str">
        <f t="shared" si="3"/>
        <v/>
      </c>
    </row>
    <row r="14" spans="1:9" x14ac:dyDescent="0.2">
      <c r="A14" s="11">
        <v>6</v>
      </c>
      <c r="B14" s="8"/>
      <c r="C14" s="7"/>
      <c r="D14" s="8"/>
      <c r="E14" s="7"/>
      <c r="F14" s="13" t="str">
        <f t="shared" si="0"/>
        <v/>
      </c>
      <c r="G14" s="13" t="str">
        <f t="shared" si="1"/>
        <v/>
      </c>
      <c r="H14" s="14" t="str">
        <f t="shared" si="2"/>
        <v/>
      </c>
      <c r="I14" s="17" t="str">
        <f t="shared" si="3"/>
        <v/>
      </c>
    </row>
    <row r="15" spans="1:9" x14ac:dyDescent="0.2">
      <c r="A15" s="11">
        <v>7</v>
      </c>
      <c r="B15" s="8"/>
      <c r="C15" s="7"/>
      <c r="D15" s="8"/>
      <c r="E15" s="7"/>
      <c r="F15" s="13" t="str">
        <f t="shared" si="0"/>
        <v/>
      </c>
      <c r="G15" s="13" t="str">
        <f t="shared" si="1"/>
        <v/>
      </c>
      <c r="H15" s="14" t="str">
        <f t="shared" si="2"/>
        <v/>
      </c>
      <c r="I15" s="17" t="str">
        <f t="shared" si="3"/>
        <v/>
      </c>
    </row>
    <row r="16" spans="1:9" x14ac:dyDescent="0.2">
      <c r="A16" s="11">
        <v>8</v>
      </c>
      <c r="B16" s="8"/>
      <c r="C16" s="7"/>
      <c r="D16" s="8"/>
      <c r="E16" s="7"/>
      <c r="F16" s="13" t="str">
        <f t="shared" si="0"/>
        <v/>
      </c>
      <c r="G16" s="13" t="str">
        <f t="shared" si="1"/>
        <v/>
      </c>
      <c r="H16" s="14" t="str">
        <f t="shared" si="2"/>
        <v/>
      </c>
      <c r="I16" s="17" t="str">
        <f t="shared" si="3"/>
        <v/>
      </c>
    </row>
    <row r="17" spans="1:9" x14ac:dyDescent="0.2">
      <c r="A17" s="11">
        <v>9</v>
      </c>
      <c r="B17" s="8"/>
      <c r="C17" s="7"/>
      <c r="D17" s="8"/>
      <c r="E17" s="7"/>
      <c r="F17" s="13" t="str">
        <f t="shared" si="0"/>
        <v/>
      </c>
      <c r="G17" s="13" t="str">
        <f t="shared" si="1"/>
        <v/>
      </c>
      <c r="H17" s="14" t="str">
        <f t="shared" si="2"/>
        <v/>
      </c>
      <c r="I17" s="17" t="str">
        <f t="shared" si="3"/>
        <v/>
      </c>
    </row>
    <row r="18" spans="1:9" x14ac:dyDescent="0.2">
      <c r="A18" s="11">
        <v>10</v>
      </c>
      <c r="B18" s="8"/>
      <c r="C18" s="7"/>
      <c r="D18" s="8"/>
      <c r="E18" s="7"/>
      <c r="F18" s="13" t="str">
        <f t="shared" si="0"/>
        <v/>
      </c>
      <c r="G18" s="13" t="str">
        <f t="shared" si="1"/>
        <v/>
      </c>
      <c r="H18" s="14" t="str">
        <f t="shared" si="2"/>
        <v/>
      </c>
      <c r="I18" s="17" t="str">
        <f t="shared" si="3"/>
        <v/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showGridLines="0" workbookViewId="0"/>
  </sheetViews>
  <sheetFormatPr baseColWidth="10" defaultColWidth="8.83203125" defaultRowHeight="15" x14ac:dyDescent="0.2"/>
  <cols>
    <col min="1" max="2" width="11" customWidth="1"/>
    <col min="3" max="3" width="3" customWidth="1"/>
    <col min="4" max="4" width="30" customWidth="1"/>
    <col min="5" max="5" width="14" customWidth="1"/>
    <col min="6" max="6" width="10" customWidth="1"/>
  </cols>
  <sheetData>
    <row r="1" spans="1:5" ht="21" x14ac:dyDescent="0.25">
      <c r="A1" s="1" t="s">
        <v>61</v>
      </c>
    </row>
    <row r="2" spans="1:5" x14ac:dyDescent="0.2">
      <c r="A2" s="2" t="s">
        <v>62</v>
      </c>
    </row>
    <row r="3" spans="1:5" x14ac:dyDescent="0.2">
      <c r="A3" s="18" t="s">
        <v>63</v>
      </c>
      <c r="B3" s="18" t="s">
        <v>64</v>
      </c>
      <c r="D3" s="6" t="s">
        <v>65</v>
      </c>
      <c r="E3" s="12">
        <f>COUNT(A4:A9)</f>
        <v>0</v>
      </c>
    </row>
    <row r="4" spans="1:5" x14ac:dyDescent="0.2">
      <c r="A4" s="11" t="str">
        <f>IF(AND(ISNUMBER('Test CP-CS'!I11),ISNUMBER('Test CP-CS'!F11)),1,"")</f>
        <v/>
      </c>
      <c r="B4" s="11" t="str">
        <f>IF(AND(ISNUMBER('Test CP-CS'!B11),ISNUMBER('Test CP-CS'!F11)),1,"")</f>
        <v/>
      </c>
      <c r="D4" s="6" t="s">
        <v>66</v>
      </c>
      <c r="E4" s="12">
        <f>COUNT(B4:B9)</f>
        <v>0</v>
      </c>
    </row>
    <row r="5" spans="1:5" x14ac:dyDescent="0.2">
      <c r="A5" s="11" t="str">
        <f>IF(AND(ISNUMBER('Test CP-CS'!I12),ISNUMBER('Test CP-CS'!F12)),1,"")</f>
        <v/>
      </c>
      <c r="B5" s="11" t="str">
        <f>IF(AND(ISNUMBER('Test CP-CS'!B12),ISNUMBER('Test CP-CS'!F12)),1,"")</f>
        <v/>
      </c>
    </row>
    <row r="6" spans="1:5" x14ac:dyDescent="0.2">
      <c r="A6" s="11" t="str">
        <f>IF(AND(ISNUMBER('Test CP-CS'!I13),ISNUMBER('Test CP-CS'!F13)),1,"")</f>
        <v/>
      </c>
      <c r="B6" s="11" t="str">
        <f>IF(AND(ISNUMBER('Test CP-CS'!B13),ISNUMBER('Test CP-CS'!F13)),1,"")</f>
        <v/>
      </c>
      <c r="D6" s="6" t="s">
        <v>67</v>
      </c>
      <c r="E6" s="13" t="str">
        <f>IF(COUNT('Test schodkowy'!$E$9:$E$18)&gt;=3,MIN('Test schodkowy'!$E$9:$E$18),"")</f>
        <v/>
      </c>
    </row>
    <row r="7" spans="1:5" x14ac:dyDescent="0.2">
      <c r="A7" s="11" t="str">
        <f>IF(AND(ISNUMBER('Test CP-CS'!I14),ISNUMBER('Test CP-CS'!F14)),1,"")</f>
        <v/>
      </c>
      <c r="B7" s="11" t="str">
        <f>IF(AND(ISNUMBER('Test CP-CS'!B14),ISNUMBER('Test CP-CS'!F14)),1,"")</f>
        <v/>
      </c>
      <c r="D7" s="6" t="s">
        <v>68</v>
      </c>
      <c r="E7" s="13" t="str">
        <f>IF(ISNUMBER(E6),E6+0.4,"")</f>
        <v/>
      </c>
    </row>
    <row r="8" spans="1:5" x14ac:dyDescent="0.2">
      <c r="A8" s="11" t="str">
        <f>IF(AND(ISNUMBER('Test CP-CS'!I15),ISNUMBER('Test CP-CS'!F15)),1,"")</f>
        <v/>
      </c>
      <c r="B8" s="11" t="str">
        <f>IF(AND(ISNUMBER('Test CP-CS'!B15),ISNUMBER('Test CP-CS'!F15)),1,"")</f>
        <v/>
      </c>
      <c r="D8" s="6" t="s">
        <v>69</v>
      </c>
      <c r="E8" s="12" t="str">
        <f>IF(NOT(ISNUMBER(E6)),"",IFERROR(INDEX('Test schodkowy'!$A$9:$A$18,MATCH(E6,'Test schodkowy'!$E$9:$E$18,0)),""))</f>
        <v/>
      </c>
    </row>
    <row r="9" spans="1:5" x14ac:dyDescent="0.2">
      <c r="A9" s="11" t="str">
        <f>IF(AND(ISNUMBER('Test CP-CS'!I16),ISNUMBER('Test CP-CS'!F16)),1,"")</f>
        <v/>
      </c>
      <c r="B9" s="11" t="str">
        <f>IF(AND(ISNUMBER('Test CP-CS'!B16),ISNUMBER('Test CP-CS'!F16)),1,"")</f>
        <v/>
      </c>
      <c r="D9" s="6" t="s">
        <v>70</v>
      </c>
      <c r="E9" s="13">
        <f>4</f>
        <v>4</v>
      </c>
    </row>
    <row r="13" spans="1:5" x14ac:dyDescent="0.2">
      <c r="A13" s="18" t="s">
        <v>71</v>
      </c>
      <c r="B13" s="18" t="s">
        <v>72</v>
      </c>
      <c r="D13" s="6" t="s">
        <v>73</v>
      </c>
      <c r="E13" s="12" t="str">
        <f>IFERROR(MATCH(1,A14:A23,0),"")</f>
        <v/>
      </c>
    </row>
    <row r="14" spans="1:5" x14ac:dyDescent="0.2">
      <c r="A14" s="11" t="str">
        <f>IF(AND(ISNUMBER('Test schodkowy'!E9),ISNUMBER($E$7),'Test schodkowy'!E9&gt;=$E$7,'Test schodkowy'!A9&gt;=$E$8),1,"")</f>
        <v/>
      </c>
      <c r="B14" s="11" t="str">
        <f>IF(AND(ISNUMBER('Test schodkowy'!E9),'Test schodkowy'!E9&gt;=$E$9),1,"")</f>
        <v/>
      </c>
      <c r="D14" s="6" t="s">
        <v>74</v>
      </c>
      <c r="E14" s="12" t="str">
        <f>IFERROR(MATCH(1,B14:B23,0),"")</f>
        <v/>
      </c>
    </row>
    <row r="15" spans="1:5" x14ac:dyDescent="0.2">
      <c r="A15" s="11" t="str">
        <f>IF(AND(ISNUMBER('Test schodkowy'!E10),ISNUMBER($E$7),'Test schodkowy'!E10&gt;=$E$7,'Test schodkowy'!A10&gt;=$E$8),1,"")</f>
        <v/>
      </c>
      <c r="B15" s="11" t="str">
        <f>IF(AND(ISNUMBER('Test schodkowy'!E10),'Test schodkowy'!E10&gt;=$E$9),1,"")</f>
        <v/>
      </c>
    </row>
    <row r="16" spans="1:5" x14ac:dyDescent="0.2">
      <c r="A16" s="11" t="str">
        <f>IF(AND(ISNUMBER('Test schodkowy'!E11),ISNUMBER($E$7),'Test schodkowy'!E11&gt;=$E$7,'Test schodkowy'!A11&gt;=$E$8),1,"")</f>
        <v/>
      </c>
      <c r="B16" s="11" t="str">
        <f>IF(AND(ISNUMBER('Test schodkowy'!E11),'Test schodkowy'!E11&gt;=$E$9),1,"")</f>
        <v/>
      </c>
    </row>
    <row r="17" spans="1:5" x14ac:dyDescent="0.2">
      <c r="A17" s="11" t="str">
        <f>IF(AND(ISNUMBER('Test schodkowy'!E12),ISNUMBER($E$7),'Test schodkowy'!E12&gt;=$E$7,'Test schodkowy'!A12&gt;=$E$8),1,"")</f>
        <v/>
      </c>
      <c r="B17" s="11" t="str">
        <f>IF(AND(ISNUMBER('Test schodkowy'!E12),'Test schodkowy'!E12&gt;=$E$9),1,"")</f>
        <v/>
      </c>
      <c r="D17" s="6" t="s">
        <v>75</v>
      </c>
      <c r="E17" s="12" t="str">
        <f>IFERROR(IF(AND(ISNUMBER($E$13),$E$13&gt;=2,ISNUMBER(INDEX('Test schodkowy'!$B$9:$B$18,$E$13-1)),ISNUMBER(INDEX('Test schodkowy'!$B$9:$B$18,$E$13)),ISNUMBER($E$7),INDEX('Test schodkowy'!$E$9:$E$18,$E$13)&lt;&gt;INDEX('Test schodkowy'!$E$9:$E$18,$E$13-1)),INDEX('Test schodkowy'!$B$9:$B$18,$E$13-1)+($E$7-INDEX('Test schodkowy'!$E$9:$E$18,$E$13-1))*(INDEX('Test schodkowy'!$B$9:$B$18,$E$13)-INDEX('Test schodkowy'!$B$9:$B$18,$E$13-1))/(INDEX('Test schodkowy'!$E$9:$E$18,$E$13)-INDEX('Test schodkowy'!$E$9:$E$18,$E$13-1)),""),"")</f>
        <v/>
      </c>
    </row>
    <row r="18" spans="1:5" x14ac:dyDescent="0.2">
      <c r="A18" s="11" t="str">
        <f>IF(AND(ISNUMBER('Test schodkowy'!E13),ISNUMBER($E$7),'Test schodkowy'!E13&gt;=$E$7,'Test schodkowy'!A13&gt;=$E$8),1,"")</f>
        <v/>
      </c>
      <c r="B18" s="11" t="str">
        <f>IF(AND(ISNUMBER('Test schodkowy'!E13),'Test schodkowy'!E13&gt;=$E$9),1,"")</f>
        <v/>
      </c>
      <c r="D18" s="6" t="s">
        <v>76</v>
      </c>
      <c r="E18" s="13" t="str">
        <f>IFERROR(IF(AND(ISNUMBER($E$13),$E$13&gt;=2,ISNUMBER(INDEX('Test schodkowy'!$C$9:$C$18,$E$13-1)),ISNUMBER(INDEX('Test schodkowy'!$C$9:$C$18,$E$13)),ISNUMBER($E$7),INDEX('Test schodkowy'!$E$9:$E$18,$E$13)&lt;&gt;INDEX('Test schodkowy'!$E$9:$E$18,$E$13-1)),INDEX('Test schodkowy'!$C$9:$C$18,$E$13-1)+($E$7-INDEX('Test schodkowy'!$E$9:$E$18,$E$13-1))*(INDEX('Test schodkowy'!$C$9:$C$18,$E$13)-INDEX('Test schodkowy'!$C$9:$C$18,$E$13-1))/(INDEX('Test schodkowy'!$E$9:$E$18,$E$13)-INDEX('Test schodkowy'!$E$9:$E$18,$E$13-1)),""),"")</f>
        <v/>
      </c>
    </row>
    <row r="19" spans="1:5" x14ac:dyDescent="0.2">
      <c r="A19" s="11" t="str">
        <f>IF(AND(ISNUMBER('Test schodkowy'!E14),ISNUMBER($E$7),'Test schodkowy'!E14&gt;=$E$7,'Test schodkowy'!A14&gt;=$E$8),1,"")</f>
        <v/>
      </c>
      <c r="B19" s="11" t="str">
        <f>IF(AND(ISNUMBER('Test schodkowy'!E14),'Test schodkowy'!E14&gt;=$E$9),1,"")</f>
        <v/>
      </c>
      <c r="D19" s="6" t="s">
        <v>77</v>
      </c>
      <c r="E19" s="12" t="str">
        <f>IFERROR(IF(AND(ISNUMBER($E$13),$E$13&gt;=2,ISNUMBER(INDEX('Test schodkowy'!$D$9:$D$18,$E$13-1)),ISNUMBER(INDEX('Test schodkowy'!$D$9:$D$18,$E$13)),ISNUMBER($E$7),INDEX('Test schodkowy'!$E$9:$E$18,$E$13)&lt;&gt;INDEX('Test schodkowy'!$E$9:$E$18,$E$13-1)),INDEX('Test schodkowy'!$D$9:$D$18,$E$13-1)+($E$7-INDEX('Test schodkowy'!$E$9:$E$18,$E$13-1))*(INDEX('Test schodkowy'!$D$9:$D$18,$E$13)-INDEX('Test schodkowy'!$D$9:$D$18,$E$13-1))/(INDEX('Test schodkowy'!$E$9:$E$18,$E$13)-INDEX('Test schodkowy'!$E$9:$E$18,$E$13-1)),""),"")</f>
        <v/>
      </c>
    </row>
    <row r="20" spans="1:5" x14ac:dyDescent="0.2">
      <c r="A20" s="11" t="str">
        <f>IF(AND(ISNUMBER('Test schodkowy'!E15),ISNUMBER($E$7),'Test schodkowy'!E15&gt;=$E$7,'Test schodkowy'!A15&gt;=$E$8),1,"")</f>
        <v/>
      </c>
      <c r="B20" s="11" t="str">
        <f>IF(AND(ISNUMBER('Test schodkowy'!E15),'Test schodkowy'!E15&gt;=$E$9),1,"")</f>
        <v/>
      </c>
      <c r="D20" s="6" t="s">
        <v>78</v>
      </c>
      <c r="E20" s="12" t="str">
        <f>IFERROR(IF(AND(ISNUMBER($E$14),$E$14&gt;=2,ISNUMBER(INDEX('Test schodkowy'!$B$9:$B$18,$E$14-1)),ISNUMBER(INDEX('Test schodkowy'!$B$9:$B$18,$E$14)),ISNUMBER($E$9),INDEX('Test schodkowy'!$E$9:$E$18,$E$14)&lt;&gt;INDEX('Test schodkowy'!$E$9:$E$18,$E$14-1)),INDEX('Test schodkowy'!$B$9:$B$18,$E$14-1)+($E$9-INDEX('Test schodkowy'!$E$9:$E$18,$E$14-1))*(INDEX('Test schodkowy'!$B$9:$B$18,$E$14)-INDEX('Test schodkowy'!$B$9:$B$18,$E$14-1))/(INDEX('Test schodkowy'!$E$9:$E$18,$E$14)-INDEX('Test schodkowy'!$E$9:$E$18,$E$14-1)),""),"")</f>
        <v/>
      </c>
    </row>
    <row r="21" spans="1:5" x14ac:dyDescent="0.2">
      <c r="A21" s="11" t="str">
        <f>IF(AND(ISNUMBER('Test schodkowy'!E16),ISNUMBER($E$7),'Test schodkowy'!E16&gt;=$E$7,'Test schodkowy'!A16&gt;=$E$8),1,"")</f>
        <v/>
      </c>
      <c r="B21" s="11" t="str">
        <f>IF(AND(ISNUMBER('Test schodkowy'!E16),'Test schodkowy'!E16&gt;=$E$9),1,"")</f>
        <v/>
      </c>
      <c r="D21" s="6" t="s">
        <v>79</v>
      </c>
      <c r="E21" s="13" t="str">
        <f>IFERROR(IF(AND(ISNUMBER($E$14),$E$14&gt;=2,ISNUMBER(INDEX('Test schodkowy'!$C$9:$C$18,$E$14-1)),ISNUMBER(INDEX('Test schodkowy'!$C$9:$C$18,$E$14)),ISNUMBER($E$9),INDEX('Test schodkowy'!$E$9:$E$18,$E$14)&lt;&gt;INDEX('Test schodkowy'!$E$9:$E$18,$E$14-1)),INDEX('Test schodkowy'!$C$9:$C$18,$E$14-1)+($E$9-INDEX('Test schodkowy'!$E$9:$E$18,$E$14-1))*(INDEX('Test schodkowy'!$C$9:$C$18,$E$14)-INDEX('Test schodkowy'!$C$9:$C$18,$E$14-1))/(INDEX('Test schodkowy'!$E$9:$E$18,$E$14)-INDEX('Test schodkowy'!$E$9:$E$18,$E$14-1)),""),"")</f>
        <v/>
      </c>
    </row>
    <row r="22" spans="1:5" x14ac:dyDescent="0.2">
      <c r="A22" s="11" t="str">
        <f>IF(AND(ISNUMBER('Test schodkowy'!E17),ISNUMBER($E$7),'Test schodkowy'!E17&gt;=$E$7,'Test schodkowy'!A17&gt;=$E$8),1,"")</f>
        <v/>
      </c>
      <c r="B22" s="11" t="str">
        <f>IF(AND(ISNUMBER('Test schodkowy'!E17),'Test schodkowy'!E17&gt;=$E$9),1,"")</f>
        <v/>
      </c>
      <c r="D22" s="6" t="s">
        <v>80</v>
      </c>
      <c r="E22" s="12" t="str">
        <f>IFERROR(IF(AND(ISNUMBER($E$14),$E$14&gt;=2,ISNUMBER(INDEX('Test schodkowy'!$D$9:$D$18,$E$14-1)),ISNUMBER(INDEX('Test schodkowy'!$D$9:$D$18,$E$14)),ISNUMBER($E$9),INDEX('Test schodkowy'!$E$9:$E$18,$E$14)&lt;&gt;INDEX('Test schodkowy'!$E$9:$E$18,$E$14-1)),INDEX('Test schodkowy'!$D$9:$D$18,$E$14-1)+($E$9-INDEX('Test schodkowy'!$E$9:$E$18,$E$14-1))*(INDEX('Test schodkowy'!$D$9:$D$18,$E$14)-INDEX('Test schodkowy'!$D$9:$D$18,$E$14-1))/(INDEX('Test schodkowy'!$E$9:$E$18,$E$14)-INDEX('Test schodkowy'!$E$9:$E$18,$E$14-1)),""),"")</f>
        <v/>
      </c>
    </row>
    <row r="23" spans="1:5" x14ac:dyDescent="0.2">
      <c r="A23" s="11" t="str">
        <f>IF(AND(ISNUMBER('Test schodkowy'!E18),ISNUMBER($E$7),'Test schodkowy'!E18&gt;=$E$7,'Test schodkowy'!A18&gt;=$E$8),1,"")</f>
        <v/>
      </c>
      <c r="B23" s="11" t="str">
        <f>IF(AND(ISNUMBER('Test schodkowy'!E18),'Test schodkowy'!E18&gt;=$E$9),1,"")</f>
        <v/>
      </c>
    </row>
    <row r="24" spans="1:5" x14ac:dyDescent="0.2">
      <c r="D24" s="6" t="s">
        <v>81</v>
      </c>
      <c r="E24" s="19" t="str">
        <f>IF(COUNT('Test schodkowy'!$D$9:$D$18)&gt;=3,IFERROR(SLOPE('Test schodkowy'!$D$9:$D$18,'Test schodkowy'!$B$9:$B$18),""),"")</f>
        <v/>
      </c>
    </row>
    <row r="25" spans="1:5" x14ac:dyDescent="0.2">
      <c r="D25" s="6" t="s">
        <v>82</v>
      </c>
      <c r="E25" s="13" t="str">
        <f>IF(COUNT('Test schodkowy'!$D$9:$D$18)&gt;=3,IFERROR(INTERCEPT('Test schodkowy'!$D$9:$D$18,'Test schodkowy'!$B$9:$B$18),""),"")</f>
        <v/>
      </c>
    </row>
    <row r="26" spans="1:5" x14ac:dyDescent="0.2">
      <c r="D26" s="6" t="s">
        <v>83</v>
      </c>
      <c r="E26" s="19" t="str">
        <f>IF(COUNT('Test schodkowy'!$D$9:$D$18)&gt;=3,IFERROR(SLOPE('Test schodkowy'!$D$9:$D$18,'Test schodkowy'!$C$9:$C$18),""),"")</f>
        <v/>
      </c>
    </row>
    <row r="27" spans="1:5" x14ac:dyDescent="0.2">
      <c r="D27" s="6" t="s">
        <v>84</v>
      </c>
      <c r="E27" s="13" t="str">
        <f>IF(COUNT('Test schodkowy'!$D$9:$D$18)&gt;=3,IFERROR(INTERCEPT('Test schodkowy'!$D$9:$D$18,'Test schodkowy'!$C$9:$C$18),""),"")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6"/>
  <sheetViews>
    <sheetView showGridLines="0" workbookViewId="0"/>
  </sheetViews>
  <sheetFormatPr baseColWidth="10" defaultColWidth="8.83203125" defaultRowHeight="15" x14ac:dyDescent="0.2"/>
  <cols>
    <col min="1" max="1" width="32" customWidth="1"/>
    <col min="2" max="2" width="14" customWidth="1"/>
    <col min="3" max="3" width="12" customWidth="1"/>
    <col min="4" max="4" width="52" customWidth="1"/>
  </cols>
  <sheetData>
    <row r="1" spans="1:4" ht="21" x14ac:dyDescent="0.25">
      <c r="A1" s="1" t="s">
        <v>85</v>
      </c>
    </row>
    <row r="2" spans="1:4" x14ac:dyDescent="0.2">
      <c r="A2" s="2" t="s">
        <v>86</v>
      </c>
    </row>
    <row r="4" spans="1:4" ht="16" x14ac:dyDescent="0.2">
      <c r="A4" s="20" t="s">
        <v>87</v>
      </c>
      <c r="B4" s="21"/>
      <c r="C4" s="21"/>
      <c r="D4" s="21"/>
    </row>
    <row r="5" spans="1:4" ht="16" x14ac:dyDescent="0.2">
      <c r="A5" s="6" t="s">
        <v>88</v>
      </c>
      <c r="B5" s="22" t="str">
        <f>IF(Obliczenia!$E$3&gt;=3,IFERROR(SLOPE('Test CP-CS'!$I$11:$I$16,'Test CP-CS'!$F$11:$F$16),""),"")</f>
        <v/>
      </c>
      <c r="C5" s="2" t="s">
        <v>89</v>
      </c>
      <c r="D5" s="23" t="s">
        <v>90</v>
      </c>
    </row>
    <row r="6" spans="1:4" x14ac:dyDescent="0.2">
      <c r="A6" s="6" t="s">
        <v>91</v>
      </c>
      <c r="B6" s="24" t="str">
        <f>IF(AND(ISNUMBER(B5),ISNUMBER('Test CP-CS'!$B$5)),B5/'Test CP-CS'!$B$5,"")</f>
        <v/>
      </c>
      <c r="C6" s="2" t="s">
        <v>92</v>
      </c>
    </row>
    <row r="7" spans="1:4" x14ac:dyDescent="0.2">
      <c r="A7" s="6" t="s">
        <v>93</v>
      </c>
      <c r="B7" s="24" t="str">
        <f>IF(Obliczenia!$E$3&gt;=3,IFERROR(INTERCEPT('Test CP-CS'!$I$11:$I$16,'Test CP-CS'!$F$11:$F$16)/1000,""),"")</f>
        <v/>
      </c>
      <c r="C7" s="2" t="s">
        <v>94</v>
      </c>
      <c r="D7" s="23" t="s">
        <v>95</v>
      </c>
    </row>
    <row r="8" spans="1:4" x14ac:dyDescent="0.2">
      <c r="A8" s="6" t="s">
        <v>96</v>
      </c>
      <c r="B8" s="25" t="str">
        <f>IF(Obliczenia!$E$3&gt;=3,IFERROR(RSQ('Test CP-CS'!$I$11:$I$16,'Test CP-CS'!$F$11:$F$16),""),"")</f>
        <v/>
      </c>
      <c r="C8" s="2"/>
    </row>
    <row r="9" spans="1:4" x14ac:dyDescent="0.2">
      <c r="A9" s="6" t="s">
        <v>97</v>
      </c>
      <c r="B9" s="15" t="str">
        <f>IF(NOT(ISNUMBER(B8)),"",IF(B8&gt;=0.99,"bardzo dobre",IF(B8&gt;=0.95,"akceptowalne","slabe - powtorz test")))</f>
        <v/>
      </c>
      <c r="C9" s="2"/>
    </row>
    <row r="10" spans="1:4" x14ac:dyDescent="0.2">
      <c r="A10" s="6" t="s">
        <v>98</v>
      </c>
      <c r="B10" s="11">
        <f>Obliczenia!$E$3</f>
        <v>0</v>
      </c>
      <c r="C10" s="2"/>
    </row>
    <row r="11" spans="1:4" x14ac:dyDescent="0.2">
      <c r="A11" s="6" t="s">
        <v>99</v>
      </c>
      <c r="B11" s="11" t="str">
        <f>IF(ISNUMBER(B5),B5*0.97,"")</f>
        <v/>
      </c>
      <c r="C11" s="2" t="s">
        <v>89</v>
      </c>
      <c r="D11" s="23" t="s">
        <v>100</v>
      </c>
    </row>
    <row r="13" spans="1:4" ht="16" x14ac:dyDescent="0.2">
      <c r="A13" s="20" t="s">
        <v>101</v>
      </c>
      <c r="B13" s="21"/>
      <c r="C13" s="21"/>
      <c r="D13" s="21"/>
    </row>
    <row r="14" spans="1:4" ht="16" x14ac:dyDescent="0.2">
      <c r="A14" s="6" t="s">
        <v>102</v>
      </c>
      <c r="B14" s="26" t="str">
        <f>IF(Obliczenia!$E$4&gt;=3,IFERROR(SLOPE('Test CP-CS'!$B$11:$B$16,'Test CP-CS'!$F$11:$F$16),""),"")</f>
        <v/>
      </c>
      <c r="C14" s="2" t="s">
        <v>103</v>
      </c>
    </row>
    <row r="15" spans="1:4" x14ac:dyDescent="0.2">
      <c r="A15" s="6" t="s">
        <v>104</v>
      </c>
      <c r="B15" s="24" t="str">
        <f>IF(ISNUMBER(B14),B14*3.6,"")</f>
        <v/>
      </c>
      <c r="C15" s="2" t="s">
        <v>105</v>
      </c>
    </row>
    <row r="16" spans="1:4" ht="16" x14ac:dyDescent="0.2">
      <c r="A16" s="6" t="s">
        <v>106</v>
      </c>
      <c r="B16" s="27" t="str">
        <f>IF(ISNUMBER(B14),(1000/B14)/86400,"")</f>
        <v/>
      </c>
      <c r="C16" s="2" t="s">
        <v>107</v>
      </c>
    </row>
    <row r="17" spans="1:4" x14ac:dyDescent="0.2">
      <c r="A17" s="6" t="s">
        <v>108</v>
      </c>
      <c r="B17" s="11" t="str">
        <f>IF(Obliczenia!$E$4&gt;=3,IFERROR(INTERCEPT('Test CP-CS'!$B$11:$B$16,'Test CP-CS'!$F$11:$F$16),""),"")</f>
        <v/>
      </c>
      <c r="C17" s="2" t="s">
        <v>109</v>
      </c>
      <c r="D17" s="23" t="s">
        <v>110</v>
      </c>
    </row>
    <row r="18" spans="1:4" x14ac:dyDescent="0.2">
      <c r="A18" s="6" t="s">
        <v>96</v>
      </c>
      <c r="B18" s="25" t="str">
        <f>IF(Obliczenia!$E$4&gt;=3,IFERROR(RSQ('Test CP-CS'!$B$11:$B$16,'Test CP-CS'!$F$11:$F$16),""),"")</f>
        <v/>
      </c>
      <c r="C18" s="2"/>
    </row>
    <row r="19" spans="1:4" x14ac:dyDescent="0.2">
      <c r="A19" s="6" t="s">
        <v>97</v>
      </c>
      <c r="B19" s="15" t="str">
        <f>IF(NOT(ISNUMBER(B18)),"",IF(B18&gt;=0.99,"bardzo dobre",IF(B18&gt;=0.95,"akceptowalne","slabe - powtorz test")))</f>
        <v/>
      </c>
      <c r="C19" s="2"/>
    </row>
    <row r="20" spans="1:4" x14ac:dyDescent="0.2">
      <c r="A20" s="6" t="s">
        <v>98</v>
      </c>
      <c r="B20" s="11">
        <f>Obliczenia!$E$4</f>
        <v>0</v>
      </c>
      <c r="C20" s="2"/>
    </row>
    <row r="22" spans="1:4" ht="16" x14ac:dyDescent="0.2">
      <c r="A22" s="20" t="s">
        <v>111</v>
      </c>
      <c r="B22" s="21"/>
      <c r="C22" s="21"/>
      <c r="D22" s="21"/>
    </row>
    <row r="23" spans="1:4" x14ac:dyDescent="0.2">
      <c r="A23" s="6" t="s">
        <v>112</v>
      </c>
      <c r="B23" s="11" t="str">
        <f>IF(Obliczenia!E17="","",Obliczenia!E17)</f>
        <v/>
      </c>
      <c r="C23" s="2" t="s">
        <v>89</v>
      </c>
      <c r="D23" s="23" t="s">
        <v>113</v>
      </c>
    </row>
    <row r="24" spans="1:4" x14ac:dyDescent="0.2">
      <c r="A24" s="6" t="s">
        <v>114</v>
      </c>
      <c r="B24" s="24" t="str">
        <f>IF(Obliczenia!E18="","",Obliczenia!E18)</f>
        <v/>
      </c>
      <c r="C24" s="2" t="s">
        <v>105</v>
      </c>
    </row>
    <row r="25" spans="1:4" x14ac:dyDescent="0.2">
      <c r="A25" s="6" t="s">
        <v>115</v>
      </c>
      <c r="B25" s="28" t="str">
        <f>IF(ISNUMBER(B24),(1000/(B24/3.6))/86400,"")</f>
        <v/>
      </c>
      <c r="C25" s="2" t="s">
        <v>107</v>
      </c>
    </row>
    <row r="26" spans="1:4" x14ac:dyDescent="0.2">
      <c r="A26" s="6" t="s">
        <v>116</v>
      </c>
      <c r="B26" s="11" t="str">
        <f>IF(Obliczenia!E19="","",Obliczenia!E19)</f>
        <v/>
      </c>
      <c r="C26" s="2" t="s">
        <v>117</v>
      </c>
    </row>
    <row r="27" spans="1:4" x14ac:dyDescent="0.2">
      <c r="A27" s="6" t="s">
        <v>118</v>
      </c>
      <c r="B27" s="11" t="str">
        <f>IF(Obliczenia!E20="","",Obliczenia!E20)</f>
        <v/>
      </c>
      <c r="C27" s="2" t="s">
        <v>89</v>
      </c>
      <c r="D27" s="23" t="s">
        <v>119</v>
      </c>
    </row>
    <row r="28" spans="1:4" x14ac:dyDescent="0.2">
      <c r="A28" s="6" t="s">
        <v>120</v>
      </c>
      <c r="B28" s="24" t="str">
        <f>IF(Obliczenia!E21="","",Obliczenia!E21)</f>
        <v/>
      </c>
      <c r="C28" s="2" t="s">
        <v>105</v>
      </c>
    </row>
    <row r="29" spans="1:4" x14ac:dyDescent="0.2">
      <c r="A29" s="6" t="s">
        <v>121</v>
      </c>
      <c r="B29" s="28" t="str">
        <f>IF(ISNUMBER(B28),(1000/(B28/3.6))/86400,"")</f>
        <v/>
      </c>
      <c r="C29" s="2" t="s">
        <v>107</v>
      </c>
    </row>
    <row r="30" spans="1:4" x14ac:dyDescent="0.2">
      <c r="A30" s="6" t="s">
        <v>122</v>
      </c>
      <c r="B30" s="11" t="str">
        <f>IF(Obliczenia!E22="","",Obliczenia!E22)</f>
        <v/>
      </c>
      <c r="C30" s="2" t="s">
        <v>117</v>
      </c>
    </row>
    <row r="32" spans="1:4" ht="16" x14ac:dyDescent="0.2">
      <c r="A32" s="20" t="s">
        <v>123</v>
      </c>
      <c r="B32" s="21"/>
      <c r="C32" s="21"/>
      <c r="D32" s="21"/>
    </row>
    <row r="33" spans="1:4" ht="26" x14ac:dyDescent="0.2">
      <c r="A33" s="6" t="s">
        <v>124</v>
      </c>
      <c r="B33" s="11" t="str">
        <f>IF(AND(ISNUMBER(B5),ISNUMBER(Obliczenia!E24),ISNUMBER(Obliczenia!E25)),Obliczenia!E24*B5+Obliczenia!E25,"")</f>
        <v/>
      </c>
      <c r="C33" s="2" t="s">
        <v>117</v>
      </c>
      <c r="D33" s="23" t="s">
        <v>125</v>
      </c>
    </row>
    <row r="34" spans="1:4" x14ac:dyDescent="0.2">
      <c r="A34" s="6" t="s">
        <v>126</v>
      </c>
      <c r="B34" s="29" t="str">
        <f>IF(AND(ISNUMBER(B33),ISNUMBER('Test CP-CS'!$B$6)),B33/'Test CP-CS'!$B$6,"")</f>
        <v/>
      </c>
      <c r="C34" s="2"/>
    </row>
    <row r="36" spans="1:4" ht="16" x14ac:dyDescent="0.2">
      <c r="A36" s="20" t="s">
        <v>127</v>
      </c>
      <c r="B36" s="21"/>
      <c r="C36" s="21"/>
      <c r="D36" s="21"/>
    </row>
    <row r="37" spans="1:4" x14ac:dyDescent="0.2">
      <c r="A37" s="6" t="s">
        <v>128</v>
      </c>
      <c r="B37" s="30"/>
    </row>
    <row r="38" spans="1:4" x14ac:dyDescent="0.2">
      <c r="A38" s="6" t="s">
        <v>129</v>
      </c>
      <c r="B38" s="28" t="str">
        <f>IF(AND(ISNUMBER(B37),ISNUMBER($B$5),ISNUMBER($B$7),B37&gt;$B$5),($B$7*1000/(B37-$B$5))/86400,"")</f>
        <v/>
      </c>
      <c r="C38" s="2" t="s">
        <v>130</v>
      </c>
      <c r="D38" s="23" t="s">
        <v>131</v>
      </c>
    </row>
    <row r="39" spans="1:4" x14ac:dyDescent="0.2">
      <c r="A39" s="6" t="s">
        <v>132</v>
      </c>
      <c r="B39" s="15" t="str">
        <f>IF(NOT(ISNUMBER(B38)),"",IF(B38*86400&lt;120,"poza modelem - moc za wysoka",IF(B38*86400&gt;900,"poza modelem - moc zbyt bliska CP","w zakresie modelu")))</f>
        <v/>
      </c>
      <c r="C39" s="2"/>
    </row>
    <row r="40" spans="1:4" ht="16" x14ac:dyDescent="0.2">
      <c r="A40" s="20" t="s">
        <v>133</v>
      </c>
      <c r="B40" s="21"/>
      <c r="C40" s="21"/>
      <c r="D40" s="21"/>
    </row>
    <row r="41" spans="1:4" x14ac:dyDescent="0.2">
      <c r="A41" s="18" t="s">
        <v>40</v>
      </c>
      <c r="B41" s="18" t="s">
        <v>134</v>
      </c>
      <c r="C41" s="18" t="s">
        <v>135</v>
      </c>
      <c r="D41" s="18" t="s">
        <v>136</v>
      </c>
    </row>
    <row r="42" spans="1:4" x14ac:dyDescent="0.2">
      <c r="A42" s="11">
        <v>1000</v>
      </c>
      <c r="B42" s="28" t="str">
        <f>IF(AND(ISNUMBER($B$14),ISNUMBER($B$17),$B$14&gt;0,A42&gt;$B$17),((A42-$B$17)/$B$14)/86400,"")</f>
        <v/>
      </c>
      <c r="C42" s="28" t="str">
        <f>IF(ISNUMBER(B42),B42/(A42/1000),"")</f>
        <v/>
      </c>
      <c r="D42" s="31" t="str">
        <f>IF(NOT(ISNUMBER(B42)),"",IF(B42*86400&lt;120,"poza modelem - dystans za krotki",IF(B42*86400&gt;900,"poza modelem - dystans za dlugi","w zakresie modelu")))</f>
        <v/>
      </c>
    </row>
    <row r="43" spans="1:4" x14ac:dyDescent="0.2">
      <c r="A43" s="11">
        <v>1500</v>
      </c>
      <c r="B43" s="28" t="str">
        <f>IF(AND(ISNUMBER($B$14),ISNUMBER($B$17),$B$14&gt;0,A43&gt;$B$17),((A43-$B$17)/$B$14)/86400,"")</f>
        <v/>
      </c>
      <c r="C43" s="28" t="str">
        <f>IF(ISNUMBER(B43),B43/(A43/1000),"")</f>
        <v/>
      </c>
      <c r="D43" s="31" t="str">
        <f>IF(NOT(ISNUMBER(B43)),"",IF(B43*86400&lt;120,"poza modelem - dystans za krotki",IF(B43*86400&gt;900,"poza modelem - dystans za dlugi","w zakresie modelu")))</f>
        <v/>
      </c>
    </row>
    <row r="44" spans="1:4" x14ac:dyDescent="0.2">
      <c r="A44" s="11">
        <v>3000</v>
      </c>
      <c r="B44" s="28" t="str">
        <f>IF(AND(ISNUMBER($B$14),ISNUMBER($B$17),$B$14&gt;0,A44&gt;$B$17),((A44-$B$17)/$B$14)/86400,"")</f>
        <v/>
      </c>
      <c r="C44" s="28" t="str">
        <f>IF(ISNUMBER(B44),B44/(A44/1000),"")</f>
        <v/>
      </c>
      <c r="D44" s="31" t="str">
        <f>IF(NOT(ISNUMBER(B44)),"",IF(B44*86400&lt;120,"poza modelem - dystans za krotki",IF(B44*86400&gt;900,"poza modelem - dystans za dlugi","w zakresie modelu")))</f>
        <v/>
      </c>
    </row>
    <row r="45" spans="1:4" x14ac:dyDescent="0.2">
      <c r="A45" s="11">
        <v>5000</v>
      </c>
      <c r="B45" s="28" t="str">
        <f>IF(AND(ISNUMBER($B$14),ISNUMBER($B$17),$B$14&gt;0,A45&gt;$B$17),((A45-$B$17)/$B$14)/86400,"")</f>
        <v/>
      </c>
      <c r="C45" s="28" t="str">
        <f>IF(ISNUMBER(B45),B45/(A45/1000),"")</f>
        <v/>
      </c>
      <c r="D45" s="31" t="str">
        <f>IF(NOT(ISNUMBER(B45)),"",IF(B45*86400&lt;120,"poza modelem - dystans za krotki",IF(B45*86400&gt;900,"poza modelem - dystans za dlugi","w zakresie modelu")))</f>
        <v/>
      </c>
    </row>
    <row r="46" spans="1:4" x14ac:dyDescent="0.2">
      <c r="A46" s="11">
        <v>10000</v>
      </c>
      <c r="B46" s="28" t="str">
        <f>IF(AND(ISNUMBER($B$14),ISNUMBER($B$17),$B$14&gt;0,A46&gt;$B$17),((A46-$B$17)/$B$14)/86400,"")</f>
        <v/>
      </c>
      <c r="C46" s="28" t="str">
        <f>IF(ISNUMBER(B46),B46/(A46/1000),"")</f>
        <v/>
      </c>
      <c r="D46" s="31" t="str">
        <f>IF(NOT(ISNUMBER(B46)),"",IF(B46*86400&lt;120,"poza modelem - dystans za krotki",IF(B46*86400&gt;900,"poza modelem - dystans za dlugi","w zakresie modelu")))</f>
        <v/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4"/>
  <sheetViews>
    <sheetView showGridLines="0" workbookViewId="0"/>
  </sheetViews>
  <sheetFormatPr baseColWidth="10" defaultColWidth="8.83203125" defaultRowHeight="15" x14ac:dyDescent="0.2"/>
  <cols>
    <col min="1" max="1" width="7" customWidth="1"/>
    <col min="2" max="2" width="28" customWidth="1"/>
    <col min="3" max="4" width="12" customWidth="1"/>
    <col min="5" max="6" width="15" customWidth="1"/>
    <col min="7" max="7" width="44" customWidth="1"/>
  </cols>
  <sheetData>
    <row r="1" spans="1:7" ht="21" x14ac:dyDescent="0.25">
      <c r="A1" s="1" t="s">
        <v>137</v>
      </c>
    </row>
    <row r="2" spans="1:7" x14ac:dyDescent="0.2">
      <c r="A2" s="2" t="s">
        <v>138</v>
      </c>
    </row>
    <row r="4" spans="1:7" ht="16" x14ac:dyDescent="0.2">
      <c r="A4" s="20" t="s">
        <v>139</v>
      </c>
      <c r="B4" s="21"/>
      <c r="C4" s="21"/>
      <c r="D4" s="21"/>
      <c r="E4" s="21"/>
      <c r="F4" s="21"/>
      <c r="G4" s="21"/>
    </row>
    <row r="5" spans="1:7" x14ac:dyDescent="0.2">
      <c r="A5" s="18" t="s">
        <v>140</v>
      </c>
      <c r="B5" s="18" t="s">
        <v>141</v>
      </c>
      <c r="C5" s="39" t="s">
        <v>142</v>
      </c>
      <c r="D5" s="40"/>
      <c r="E5" s="40"/>
      <c r="F5" s="40"/>
      <c r="G5" s="40"/>
    </row>
    <row r="6" spans="1:7" ht="28" customHeight="1" x14ac:dyDescent="0.2">
      <c r="A6" s="35" t="s">
        <v>143</v>
      </c>
      <c r="B6" s="15" t="s">
        <v>144</v>
      </c>
      <c r="C6" s="36" t="s">
        <v>145</v>
      </c>
      <c r="D6" s="37"/>
      <c r="E6" s="37"/>
      <c r="F6" s="37"/>
      <c r="G6" s="38"/>
    </row>
    <row r="7" spans="1:7" ht="28" customHeight="1" x14ac:dyDescent="0.2">
      <c r="A7" s="35" t="s">
        <v>146</v>
      </c>
      <c r="B7" s="15" t="s">
        <v>147</v>
      </c>
      <c r="C7" s="36" t="s">
        <v>148</v>
      </c>
      <c r="D7" s="37"/>
      <c r="E7" s="37"/>
      <c r="F7" s="37"/>
      <c r="G7" s="38"/>
    </row>
    <row r="8" spans="1:7" ht="28" customHeight="1" x14ac:dyDescent="0.2">
      <c r="A8" s="35" t="s">
        <v>149</v>
      </c>
      <c r="B8" s="15" t="s">
        <v>150</v>
      </c>
      <c r="C8" s="36" t="s">
        <v>151</v>
      </c>
      <c r="D8" s="37"/>
      <c r="E8" s="37"/>
      <c r="F8" s="37"/>
      <c r="G8" s="38"/>
    </row>
    <row r="10" spans="1:7" x14ac:dyDescent="0.2">
      <c r="A10" s="2" t="s">
        <v>152</v>
      </c>
    </row>
    <row r="11" spans="1:7" ht="16" x14ac:dyDescent="0.2">
      <c r="A11" s="20" t="s">
        <v>153</v>
      </c>
      <c r="B11" s="21"/>
      <c r="C11" s="21"/>
      <c r="D11" s="21"/>
      <c r="E11" s="21"/>
      <c r="F11" s="21"/>
      <c r="G11" s="21"/>
    </row>
    <row r="12" spans="1:7" x14ac:dyDescent="0.2">
      <c r="A12" s="10" t="s">
        <v>39</v>
      </c>
      <c r="B12" s="10" t="s">
        <v>154</v>
      </c>
      <c r="C12" s="10" t="s">
        <v>155</v>
      </c>
      <c r="D12" s="10" t="s">
        <v>156</v>
      </c>
      <c r="E12" s="10" t="s">
        <v>157</v>
      </c>
      <c r="F12" s="10" t="s">
        <v>158</v>
      </c>
      <c r="G12" s="10" t="s">
        <v>159</v>
      </c>
    </row>
    <row r="13" spans="1:7" x14ac:dyDescent="0.2">
      <c r="A13" s="11">
        <v>1</v>
      </c>
      <c r="B13" s="32" t="s">
        <v>160</v>
      </c>
      <c r="C13" s="34">
        <v>0</v>
      </c>
      <c r="D13" s="34">
        <v>0.55000000000000004</v>
      </c>
      <c r="E13" s="11" t="str">
        <f>IF(AND(ISNUMBER(Wyniki!$B$11),ISNUMBER(C13)),Wyniki!$B$11*C13,"")</f>
        <v/>
      </c>
      <c r="F13" s="11" t="str">
        <f>IF(AND(ISNUMBER(Wyniki!$B$11),ISNUMBER(D13)),Wyniki!$B$11*D13,"")</f>
        <v/>
      </c>
      <c r="G13" s="33" t="s">
        <v>161</v>
      </c>
    </row>
    <row r="14" spans="1:7" x14ac:dyDescent="0.2">
      <c r="A14" s="11">
        <v>2</v>
      </c>
      <c r="B14" s="32" t="s">
        <v>162</v>
      </c>
      <c r="C14" s="34">
        <v>0.55000000000000004</v>
      </c>
      <c r="D14" s="34">
        <v>0.75</v>
      </c>
      <c r="E14" s="11" t="str">
        <f>IF(AND(ISNUMBER(Wyniki!$B$11),ISNUMBER(C14)),Wyniki!$B$11*C14,"")</f>
        <v/>
      </c>
      <c r="F14" s="11" t="str">
        <f>IF(AND(ISNUMBER(Wyniki!$B$11),ISNUMBER(D14)),Wyniki!$B$11*D14,"")</f>
        <v/>
      </c>
      <c r="G14" s="33" t="s">
        <v>163</v>
      </c>
    </row>
    <row r="15" spans="1:7" x14ac:dyDescent="0.2">
      <c r="A15" s="11">
        <v>3</v>
      </c>
      <c r="B15" s="32" t="s">
        <v>164</v>
      </c>
      <c r="C15" s="34">
        <v>0.75</v>
      </c>
      <c r="D15" s="34">
        <v>0.9</v>
      </c>
      <c r="E15" s="11" t="str">
        <f>IF(AND(ISNUMBER(Wyniki!$B$11),ISNUMBER(C15)),Wyniki!$B$11*C15,"")</f>
        <v/>
      </c>
      <c r="F15" s="11" t="str">
        <f>IF(AND(ISNUMBER(Wyniki!$B$11),ISNUMBER(D15)),Wyniki!$B$11*D15,"")</f>
        <v/>
      </c>
      <c r="G15" s="33" t="s">
        <v>165</v>
      </c>
    </row>
    <row r="16" spans="1:7" x14ac:dyDescent="0.2">
      <c r="A16" s="11">
        <v>4</v>
      </c>
      <c r="B16" s="32" t="s">
        <v>166</v>
      </c>
      <c r="C16" s="34">
        <v>0.9</v>
      </c>
      <c r="D16" s="34">
        <v>1.05</v>
      </c>
      <c r="E16" s="11" t="str">
        <f>IF(AND(ISNUMBER(Wyniki!$B$11),ISNUMBER(C16)),Wyniki!$B$11*C16,"")</f>
        <v/>
      </c>
      <c r="F16" s="11" t="str">
        <f>IF(AND(ISNUMBER(Wyniki!$B$11),ISNUMBER(D16)),Wyniki!$B$11*D16,"")</f>
        <v/>
      </c>
      <c r="G16" s="33" t="s">
        <v>167</v>
      </c>
    </row>
    <row r="17" spans="1:7" x14ac:dyDescent="0.2">
      <c r="A17" s="11">
        <v>5</v>
      </c>
      <c r="B17" s="32" t="s">
        <v>168</v>
      </c>
      <c r="C17" s="34">
        <v>1.05</v>
      </c>
      <c r="D17" s="34">
        <v>1.2</v>
      </c>
      <c r="E17" s="11" t="str">
        <f>IF(AND(ISNUMBER(Wyniki!$B$11),ISNUMBER(C17)),Wyniki!$B$11*C17,"")</f>
        <v/>
      </c>
      <c r="F17" s="11" t="str">
        <f>IF(AND(ISNUMBER(Wyniki!$B$11),ISNUMBER(D17)),Wyniki!$B$11*D17,"")</f>
        <v/>
      </c>
      <c r="G17" s="33" t="s">
        <v>169</v>
      </c>
    </row>
    <row r="18" spans="1:7" x14ac:dyDescent="0.2">
      <c r="A18" s="11">
        <v>6</v>
      </c>
      <c r="B18" s="32" t="s">
        <v>170</v>
      </c>
      <c r="C18" s="34">
        <v>1.2</v>
      </c>
      <c r="D18" s="34">
        <v>1.5</v>
      </c>
      <c r="E18" s="11" t="str">
        <f>IF(AND(ISNUMBER(Wyniki!$B$11),ISNUMBER(C18)),Wyniki!$B$11*C18,"")</f>
        <v/>
      </c>
      <c r="F18" s="11" t="str">
        <f>IF(AND(ISNUMBER(Wyniki!$B$11),ISNUMBER(D18)),Wyniki!$B$11*D18,"")</f>
        <v/>
      </c>
      <c r="G18" s="33" t="s">
        <v>171</v>
      </c>
    </row>
    <row r="19" spans="1:7" x14ac:dyDescent="0.2">
      <c r="A19" s="11">
        <v>7</v>
      </c>
      <c r="B19" s="32" t="s">
        <v>172</v>
      </c>
      <c r="C19" s="34">
        <v>1.5</v>
      </c>
      <c r="D19" s="34"/>
      <c r="E19" s="11" t="str">
        <f>IF(AND(ISNUMBER(Wyniki!$B$11),ISNUMBER(C19)),Wyniki!$B$11*C19,"")</f>
        <v/>
      </c>
      <c r="F19" s="11" t="str">
        <f>IF(AND(ISNUMBER(Wyniki!$B$11),ISNUMBER(D19)),Wyniki!$B$11*D19,"")</f>
        <v/>
      </c>
      <c r="G19" s="33" t="s">
        <v>173</v>
      </c>
    </row>
    <row r="22" spans="1:7" ht="16" x14ac:dyDescent="0.2">
      <c r="A22" s="20" t="s">
        <v>174</v>
      </c>
      <c r="B22" s="21"/>
      <c r="C22" s="21"/>
      <c r="D22" s="21"/>
      <c r="E22" s="21"/>
      <c r="F22" s="21"/>
      <c r="G22" s="21"/>
    </row>
    <row r="23" spans="1:7" ht="32" customHeight="1" x14ac:dyDescent="0.2">
      <c r="A23" s="10" t="s">
        <v>39</v>
      </c>
      <c r="B23" s="10" t="s">
        <v>154</v>
      </c>
      <c r="C23" s="10" t="s">
        <v>175</v>
      </c>
      <c r="D23" s="10" t="s">
        <v>176</v>
      </c>
      <c r="E23" s="10" t="s">
        <v>177</v>
      </c>
      <c r="F23" s="10" t="s">
        <v>178</v>
      </c>
      <c r="G23" s="10" t="s">
        <v>159</v>
      </c>
    </row>
    <row r="24" spans="1:7" x14ac:dyDescent="0.2">
      <c r="A24" s="11">
        <v>1</v>
      </c>
      <c r="B24" s="32" t="s">
        <v>160</v>
      </c>
      <c r="C24" s="34">
        <v>0</v>
      </c>
      <c r="D24" s="34">
        <v>0.55000000000000004</v>
      </c>
      <c r="E24" s="28" t="str">
        <f>IF(AND(ISNUMBER(Wyniki!$B$14),ISNUMBER(C24),C24&gt;0),(1000/(Wyniki!$B$14*C24))/86400,"")</f>
        <v/>
      </c>
      <c r="F24" s="28" t="str">
        <f>IF(AND(ISNUMBER(Wyniki!$B$14),ISNUMBER(D24),D24&gt;0),(1000/(Wyniki!$B$14*D24))/86400,"")</f>
        <v/>
      </c>
      <c r="G24" s="33" t="s">
        <v>179</v>
      </c>
    </row>
    <row r="25" spans="1:7" x14ac:dyDescent="0.2">
      <c r="A25" s="11">
        <v>2</v>
      </c>
      <c r="B25" s="32" t="s">
        <v>162</v>
      </c>
      <c r="C25" s="34">
        <v>0.55000000000000004</v>
      </c>
      <c r="D25" s="34">
        <v>0.75</v>
      </c>
      <c r="E25" s="28" t="str">
        <f>IF(AND(ISNUMBER(Wyniki!$B$14),ISNUMBER(C25),C25&gt;0),(1000/(Wyniki!$B$14*C25))/86400,"")</f>
        <v/>
      </c>
      <c r="F25" s="28" t="str">
        <f>IF(AND(ISNUMBER(Wyniki!$B$14),ISNUMBER(D25),D25&gt;0),(1000/(Wyniki!$B$14*D25))/86400,"")</f>
        <v/>
      </c>
      <c r="G25" s="33" t="s">
        <v>180</v>
      </c>
    </row>
    <row r="26" spans="1:7" x14ac:dyDescent="0.2">
      <c r="A26" s="11">
        <v>3</v>
      </c>
      <c r="B26" s="32" t="s">
        <v>164</v>
      </c>
      <c r="C26" s="34">
        <v>0.75</v>
      </c>
      <c r="D26" s="34">
        <v>0.9</v>
      </c>
      <c r="E26" s="28" t="str">
        <f>IF(AND(ISNUMBER(Wyniki!$B$14),ISNUMBER(C26),C26&gt;0),(1000/(Wyniki!$B$14*C26))/86400,"")</f>
        <v/>
      </c>
      <c r="F26" s="28" t="str">
        <f>IF(AND(ISNUMBER(Wyniki!$B$14),ISNUMBER(D26),D26&gt;0),(1000/(Wyniki!$B$14*D26))/86400,"")</f>
        <v/>
      </c>
      <c r="G26" s="33" t="s">
        <v>181</v>
      </c>
    </row>
    <row r="27" spans="1:7" x14ac:dyDescent="0.2">
      <c r="A27" s="11">
        <v>4</v>
      </c>
      <c r="B27" s="32" t="s">
        <v>166</v>
      </c>
      <c r="C27" s="34">
        <v>0.9</v>
      </c>
      <c r="D27" s="34">
        <v>1.05</v>
      </c>
      <c r="E27" s="28" t="str">
        <f>IF(AND(ISNUMBER(Wyniki!$B$14),ISNUMBER(C27),C27&gt;0),(1000/(Wyniki!$B$14*C27))/86400,"")</f>
        <v/>
      </c>
      <c r="F27" s="28" t="str">
        <f>IF(AND(ISNUMBER(Wyniki!$B$14),ISNUMBER(D27),D27&gt;0),(1000/(Wyniki!$B$14*D27))/86400,"")</f>
        <v/>
      </c>
      <c r="G27" s="33" t="s">
        <v>167</v>
      </c>
    </row>
    <row r="28" spans="1:7" x14ac:dyDescent="0.2">
      <c r="A28" s="11">
        <v>5</v>
      </c>
      <c r="B28" s="32" t="s">
        <v>168</v>
      </c>
      <c r="C28" s="34">
        <v>1.05</v>
      </c>
      <c r="D28" s="34">
        <v>1.2</v>
      </c>
      <c r="E28" s="28" t="str">
        <f>IF(AND(ISNUMBER(Wyniki!$B$14),ISNUMBER(C28),C28&gt;0),(1000/(Wyniki!$B$14*C28))/86400,"")</f>
        <v/>
      </c>
      <c r="F28" s="28" t="str">
        <f>IF(AND(ISNUMBER(Wyniki!$B$14),ISNUMBER(D28),D28&gt;0),(1000/(Wyniki!$B$14*D28))/86400,"")</f>
        <v/>
      </c>
      <c r="G28" s="33" t="s">
        <v>182</v>
      </c>
    </row>
    <row r="29" spans="1:7" x14ac:dyDescent="0.2">
      <c r="A29" s="11">
        <v>6</v>
      </c>
      <c r="B29" s="32" t="s">
        <v>170</v>
      </c>
      <c r="C29" s="34">
        <v>1.2</v>
      </c>
      <c r="D29" s="34">
        <v>1.5</v>
      </c>
      <c r="E29" s="28" t="str">
        <f>IF(AND(ISNUMBER(Wyniki!$B$14),ISNUMBER(C29),C29&gt;0),(1000/(Wyniki!$B$14*C29))/86400,"")</f>
        <v/>
      </c>
      <c r="F29" s="28" t="str">
        <f>IF(AND(ISNUMBER(Wyniki!$B$14),ISNUMBER(D29),D29&gt;0),(1000/(Wyniki!$B$14*D29))/86400,"")</f>
        <v/>
      </c>
      <c r="G29" s="33" t="s">
        <v>183</v>
      </c>
    </row>
    <row r="30" spans="1:7" x14ac:dyDescent="0.2">
      <c r="A30" s="11">
        <v>7</v>
      </c>
      <c r="B30" s="32" t="s">
        <v>172</v>
      </c>
      <c r="C30" s="34">
        <v>1.5</v>
      </c>
      <c r="D30" s="34"/>
      <c r="E30" s="28" t="str">
        <f>IF(AND(ISNUMBER(Wyniki!$B$14),ISNUMBER(C30),C30&gt;0),(1000/(Wyniki!$B$14*C30))/86400,"")</f>
        <v/>
      </c>
      <c r="F30" s="28" t="str">
        <f>IF(AND(ISNUMBER(Wyniki!$B$14),ISNUMBER(D30),D30&gt;0),(1000/(Wyniki!$B$14*D30))/86400,"")</f>
        <v/>
      </c>
      <c r="G30" s="33" t="s">
        <v>184</v>
      </c>
    </row>
    <row r="32" spans="1:7" x14ac:dyDescent="0.2">
      <c r="A32" s="2" t="s">
        <v>185</v>
      </c>
    </row>
    <row r="33" spans="1:1" x14ac:dyDescent="0.2">
      <c r="A33" s="2" t="s">
        <v>186</v>
      </c>
    </row>
    <row r="34" spans="1:1" x14ac:dyDescent="0.2">
      <c r="A34" s="2" t="s">
        <v>187</v>
      </c>
    </row>
  </sheetData>
  <mergeCells count="7">
    <mergeCell ref="C5:G5"/>
    <mergeCell ref="C8:G8"/>
    <mergeCell ref="A8"/>
    <mergeCell ref="A6"/>
    <mergeCell ref="C7:G7"/>
    <mergeCell ref="C6:G6"/>
    <mergeCell ref="A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Test CP-CS</vt:lpstr>
      <vt:lpstr>Test schodkowy</vt:lpstr>
      <vt:lpstr>Obliczenia</vt:lpstr>
      <vt:lpstr>Wyniki</vt:lpstr>
      <vt:lpstr>Strefy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Krzysztof Kubicz</cp:lastModifiedBy>
  <dcterms:created xsi:type="dcterms:W3CDTF">2026-08-06T11:25:25Z</dcterms:created>
  <dcterms:modified xsi:type="dcterms:W3CDTF">2026-08-06T11:30:13Z</dcterms:modified>
</cp:coreProperties>
</file>